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cdsbeo.sharepoint.com/sites/Board-Accounting/Shared Documents/Finance/2021 Year End/Ventilation Reporting/"/>
    </mc:Choice>
  </mc:AlternateContent>
  <xr:revisionPtr revIDLastSave="21" documentId="8_{FD4F3169-71CF-498A-8C14-7AA0A5804C7D}" xr6:coauthVersionLast="47" xr6:coauthVersionMax="47" xr10:uidLastSave="{6EA697B2-8D33-4834-A603-DC4EC859413D}"/>
  <bookViews>
    <workbookView xWindow="-98" yWindow="-98" windowWidth="20715" windowHeight="13276" tabRatio="801" activeTab="2" xr2:uid="{4E001882-94D2-4561-8C24-2FC025358A5D}"/>
  </bookViews>
  <sheets>
    <sheet name="1. Board Ventilation Strategy" sheetId="6" r:id="rId1"/>
    <sheet name="2. Board Level Investments" sheetId="3" r:id="rId2"/>
    <sheet name="3. School Dashboard" sheetId="4" r:id="rId3"/>
    <sheet name="4. Board Level Worksheet" sheetId="2" state="hidden" r:id="rId4"/>
    <sheet name="5. School Level Worksheet" sheetId="7" state="hidden" r:id="rId5"/>
    <sheet name="supporting docs" sheetId="9" state="hidden" r:id="rId6"/>
    <sheet name="pivot table" sheetId="10" state="hidden" r:id="rId7"/>
    <sheet name="Funding Tables" sheetId="8" state="hidden" r:id="rId8"/>
  </sheets>
  <definedNames>
    <definedName name="_xlnm._FilterDatabase" localSheetId="4" hidden="1">'5. School Level Worksheet'!$K$6:$N$43</definedName>
    <definedName name="_xlnm._FilterDatabase" localSheetId="5" hidden="1">'supporting docs'!$A$1:$IT$147</definedName>
    <definedName name="School_Name">Table1[Name of School Facility]</definedName>
    <definedName name="Ventilation">HVAC_Type[HVAC System Type]</definedName>
  </definedNames>
  <calcPr calcId="191028"/>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9" l="1"/>
  <c r="G147" i="9"/>
  <c r="F147" i="9"/>
  <c r="K147" i="9" l="1"/>
  <c r="Q147" i="9"/>
  <c r="Q151" i="9" s="1"/>
  <c r="R147" i="9"/>
  <c r="S147" i="9"/>
  <c r="O19" i="2" s="1"/>
  <c r="P139" i="9"/>
  <c r="P137" i="9"/>
  <c r="P136" i="9"/>
  <c r="P135" i="9"/>
  <c r="P129" i="9"/>
  <c r="P113" i="9"/>
  <c r="P114" i="9"/>
  <c r="P105" i="9"/>
  <c r="P101" i="9"/>
  <c r="L108" i="9"/>
  <c r="L122" i="9"/>
  <c r="L94" i="9"/>
  <c r="L89" i="9"/>
  <c r="L86" i="9"/>
  <c r="L84" i="9"/>
  <c r="L81" i="9"/>
  <c r="L77" i="9"/>
  <c r="L72" i="9"/>
  <c r="L69" i="9"/>
  <c r="L63" i="9"/>
  <c r="L61" i="9"/>
  <c r="L54" i="9"/>
  <c r="L51" i="9"/>
  <c r="L47" i="9"/>
  <c r="L45" i="9"/>
  <c r="L38" i="9"/>
  <c r="L35" i="9"/>
  <c r="L32" i="9"/>
  <c r="L28" i="9"/>
  <c r="L23" i="9"/>
  <c r="E147" i="9"/>
  <c r="N140" i="9"/>
  <c r="M140" i="9" s="1"/>
  <c r="M62" i="9"/>
  <c r="L141" i="9"/>
  <c r="L143" i="9"/>
  <c r="L120" i="9"/>
  <c r="L100" i="9"/>
  <c r="L142" i="9"/>
  <c r="L60" i="9"/>
  <c r="L146" i="9"/>
  <c r="L75" i="9"/>
  <c r="L74" i="9"/>
  <c r="L25" i="9"/>
  <c r="L41" i="9"/>
  <c r="L65" i="9"/>
  <c r="L67" i="9"/>
  <c r="M44" i="9"/>
  <c r="L118" i="9"/>
  <c r="M43" i="9"/>
  <c r="M87" i="9"/>
  <c r="M126" i="9"/>
  <c r="L144" i="9"/>
  <c r="L73" i="9"/>
  <c r="M76" i="9"/>
  <c r="M22" i="9"/>
  <c r="M106" i="9"/>
  <c r="L24" i="9"/>
  <c r="M90" i="9"/>
  <c r="M103" i="9"/>
  <c r="M102" i="9"/>
  <c r="L59" i="9"/>
  <c r="L68" i="9"/>
  <c r="M85" i="9"/>
  <c r="L17" i="9"/>
  <c r="L40" i="9"/>
  <c r="M83" i="9"/>
  <c r="M110" i="9"/>
  <c r="L88" i="9"/>
  <c r="M29" i="9"/>
  <c r="L91" i="9"/>
  <c r="M71" i="9"/>
  <c r="M11" i="9"/>
  <c r="L64" i="9"/>
  <c r="L93" i="9"/>
  <c r="L16" i="9"/>
  <c r="L39" i="9"/>
  <c r="L138" i="9"/>
  <c r="L130" i="9"/>
  <c r="L33" i="9"/>
  <c r="L109" i="9"/>
  <c r="L125" i="9"/>
  <c r="J132" i="9"/>
  <c r="M147" i="9" l="1"/>
  <c r="N147" i="9"/>
  <c r="N151" i="9" s="1"/>
  <c r="P147" i="9"/>
  <c r="P151" i="9" s="1"/>
  <c r="L147" i="9"/>
  <c r="L151" i="9" s="1"/>
  <c r="S151" i="9"/>
  <c r="O66" i="9" l="1"/>
  <c r="O9" i="9"/>
  <c r="O12" i="9"/>
  <c r="O15" i="9"/>
  <c r="O19" i="9"/>
  <c r="O21" i="9"/>
  <c r="O2" i="9"/>
  <c r="O147" i="9" l="1"/>
  <c r="O151" i="9" s="1"/>
  <c r="M151" i="9"/>
  <c r="J18" i="2"/>
  <c r="J99" i="9"/>
  <c r="H96" i="9"/>
  <c r="I98" i="9"/>
  <c r="H131" i="9"/>
  <c r="J123" i="9"/>
  <c r="H121" i="9"/>
  <c r="J82" i="9"/>
  <c r="H79" i="9"/>
  <c r="J30" i="9"/>
  <c r="H26" i="9"/>
  <c r="J34" i="9"/>
  <c r="H31" i="9"/>
  <c r="I5" i="9"/>
  <c r="I147" i="9" s="1"/>
  <c r="J3" i="9"/>
  <c r="J37" i="9"/>
  <c r="H36" i="9"/>
  <c r="J56" i="9"/>
  <c r="H53" i="9"/>
  <c r="J10" i="9"/>
  <c r="H7" i="9"/>
  <c r="H147" i="9" l="1"/>
  <c r="J147" i="9"/>
  <c r="G18" i="2" s="1"/>
  <c r="P19" i="2"/>
  <c r="R151" i="9"/>
  <c r="I18" i="2"/>
  <c r="H18" i="2" l="1"/>
  <c r="J45" i="7"/>
  <c r="C23" i="2" l="1"/>
  <c r="K19" i="2"/>
  <c r="M19" i="2"/>
  <c r="L19" i="2"/>
  <c r="F18" i="2"/>
  <c r="E18" i="2"/>
  <c r="C18" i="2" s="1"/>
  <c r="C19" i="2" l="1"/>
  <c r="D7" i="4"/>
  <c r="C26" i="2" l="1"/>
  <c r="F16" i="4" l="1"/>
  <c r="I16" i="4"/>
  <c r="I15" i="4"/>
  <c r="E15" i="4" s="1"/>
  <c r="I14" i="4"/>
  <c r="E14" i="4" s="1"/>
  <c r="I13" i="4"/>
  <c r="E13" i="4" s="1"/>
  <c r="I12" i="4"/>
  <c r="E12" i="4" s="1"/>
  <c r="I11" i="4"/>
  <c r="E11" i="4" s="1"/>
  <c r="I10" i="4"/>
  <c r="E10" i="4" s="1"/>
  <c r="V4" i="8" l="1"/>
  <c r="V5" i="8"/>
  <c r="V6" i="8"/>
  <c r="V7" i="8"/>
  <c r="V8" i="8"/>
  <c r="V9" i="8"/>
  <c r="V10" i="8"/>
  <c r="V11" i="8"/>
  <c r="V12" i="8"/>
  <c r="V13" i="8"/>
  <c r="V14" i="8"/>
  <c r="V15" i="8"/>
  <c r="V16" i="8"/>
  <c r="V17" i="8"/>
  <c r="V18" i="8"/>
  <c r="V19" i="8"/>
  <c r="V20" i="8"/>
  <c r="V21" i="8"/>
  <c r="V22" i="8"/>
  <c r="V23" i="8"/>
  <c r="V24" i="8"/>
  <c r="V25" i="8"/>
  <c r="V26" i="8"/>
  <c r="V27" i="8"/>
  <c r="V28" i="8"/>
  <c r="V29" i="8"/>
  <c r="V30" i="8"/>
  <c r="V31" i="8"/>
  <c r="V32" i="8"/>
  <c r="V33" i="8"/>
  <c r="V34" i="8"/>
  <c r="V35" i="8"/>
  <c r="V36" i="8"/>
  <c r="V37" i="8"/>
  <c r="V38" i="8"/>
  <c r="V39" i="8"/>
  <c r="V40" i="8"/>
  <c r="V41" i="8"/>
  <c r="V42" i="8"/>
  <c r="V43" i="8"/>
  <c r="V44" i="8"/>
  <c r="V45" i="8"/>
  <c r="V46" i="8"/>
  <c r="V47" i="8"/>
  <c r="V48" i="8"/>
  <c r="V49" i="8"/>
  <c r="V50" i="8"/>
  <c r="V51" i="8"/>
  <c r="V52" i="8"/>
  <c r="V53" i="8"/>
  <c r="V54" i="8"/>
  <c r="V55" i="8"/>
  <c r="V56" i="8"/>
  <c r="V57" i="8"/>
  <c r="V58" i="8"/>
  <c r="V59" i="8"/>
  <c r="V60" i="8"/>
  <c r="V61" i="8"/>
  <c r="V62" i="8"/>
  <c r="V63" i="8"/>
  <c r="V64" i="8"/>
  <c r="V65" i="8"/>
  <c r="V66" i="8"/>
  <c r="V67" i="8"/>
  <c r="V68" i="8"/>
  <c r="V69" i="8"/>
  <c r="V70" i="8"/>
  <c r="V71" i="8"/>
  <c r="V72" i="8"/>
  <c r="V73" i="8"/>
  <c r="V74" i="8"/>
  <c r="V75" i="8"/>
  <c r="V76" i="8"/>
  <c r="V77" i="8"/>
  <c r="V78" i="8"/>
  <c r="V3" i="8"/>
  <c r="K4" i="8" l="1"/>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3" i="8"/>
  <c r="O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3" i="8"/>
  <c r="N4" i="8"/>
  <c r="N5" i="8"/>
  <c r="N6" i="8"/>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3" i="8"/>
  <c r="M4" i="8"/>
  <c r="M5" i="8"/>
  <c r="M6" i="8"/>
  <c r="M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3" i="8"/>
  <c r="L4" i="8"/>
  <c r="L5" i="8"/>
  <c r="L6" i="8"/>
  <c r="L7" i="8"/>
  <c r="L8" i="8"/>
  <c r="L9" i="8"/>
  <c r="L10" i="8"/>
  <c r="L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3" i="8"/>
  <c r="F11" i="4" l="1"/>
  <c r="F13" i="4"/>
  <c r="F10" i="4"/>
  <c r="F15" i="4"/>
  <c r="F14" i="4"/>
  <c r="F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tc={74F355A2-3615-4177-A6C6-1A8B41626AAB}</author>
    <author>tc={41E19BE3-A3AC-4421-A9E7-CE092D4D202C}</author>
    <author>tc={9BFDECF7-DD35-460F-8E7B-4D3121E81B0C}</author>
    <author>tc={F089A9F4-ADF3-4F93-96D4-D2C35CC3971B}</author>
    <author>tc={8BF8FD00-D16E-49D5-BF62-7851F1DBBDE9}</author>
    <author>tc={B593862A-88E2-4539-AF67-276CE9C2D974}</author>
    <author>tc={8BD61C0E-E4E1-4CFE-8A03-8091EC8EE10D}</author>
  </authors>
  <commentList>
    <comment ref="D1" authorId="0" shapeId="0" xr:uid="{74F355A2-3615-4177-A6C6-1A8B41626AAB}">
      <text>
        <t>[Threaded comment]
Your version of Excel allows you to read this threaded comment; however, any edits to it will get removed if the file is opened in a newer version of Excel. Learn more: https://go.microsoft.com/fwlink/?linkid=870924
Comment:
    @Royal Metcalfe Can you go down the list and categorize</t>
      </text>
    </comment>
    <comment ref="S18" authorId="1" shapeId="0" xr:uid="{41E19BE3-A3AC-4421-A9E7-CE092D4D202C}">
      <text>
        <t>[Threaded comment]
Your version of Excel allows you to read this threaded comment; however, any edits to it will get removed if the file is opened in a newer version of Excel. Learn more: https://go.microsoft.com/fwlink/?linkid=870924
Comment:
    @Royal Metcalfe please split this project cost</t>
      </text>
    </comment>
    <comment ref="S48" authorId="2" shapeId="0" xr:uid="{9BFDECF7-DD35-460F-8E7B-4D3121E81B0C}">
      <text>
        <t>[Threaded comment]
Your version of Excel allows you to read this threaded comment; however, any edits to it will get removed if the file is opened in a newer version of Excel. Learn more: https://go.microsoft.com/fwlink/?linkid=870924
Comment:
    @Royal Metcalfe please split this into the two projects</t>
      </text>
    </comment>
    <comment ref="T80" authorId="3" shapeId="0" xr:uid="{F089A9F4-ADF3-4F93-96D4-D2C35CC3971B}">
      <text>
        <t>[Threaded comment]
Your version of Excel allows you to read this threaded comment; however, any edits to it will get removed if the file is opened in a newer version of Excel. Learn more: https://go.microsoft.com/fwlink/?linkid=870924
Comment:
    @Ashley Hutchinson Need a G/L code
Reply:
    @Shawna Weagle - GL code please :)</t>
      </text>
    </comment>
    <comment ref="T95" authorId="4" shapeId="0" xr:uid="{8BF8FD00-D16E-49D5-BF62-7851F1DBBDE9}">
      <text>
        <t>[Threaded comment]
Your version of Excel allows you to read this threaded comment; however, any edits to it will get removed if the file is opened in a newer version of Excel. Learn more: https://go.microsoft.com/fwlink/?linkid=870924
Comment:
    @Shawna Weagle will need a budget code for this SCI project.  Thank You!</t>
      </text>
    </comment>
    <comment ref="T107" authorId="5" shapeId="0" xr:uid="{B593862A-88E2-4539-AF67-276CE9C2D974}">
      <text>
        <t>[Threaded comment]
Your version of Excel allows you to read this threaded comment; however, any edits to it will get removed if the file is opened in a newer version of Excel. Learn more: https://go.microsoft.com/fwlink/?linkid=870924
Comment:
    @Ashley Hutchinson need a G/L code
Reply:
    @Dan Tackaberry just tag Shawna and she'll do it right away :) 
@Shawna Weagle please create G/L</t>
      </text>
    </comment>
    <comment ref="T112" authorId="6" shapeId="0" xr:uid="{8BD61C0E-E4E1-4CFE-8A03-8091EC8EE10D}">
      <text>
        <t>[Threaded comment]
Your version of Excel allows you to read this threaded comment; however, any edits to it will get removed if the file is opened in a newer version of Excel. Learn more: https://go.microsoft.com/fwlink/?linkid=870924
Comment:
    new code for federal funding</t>
      </text>
    </comment>
  </commentList>
</comments>
</file>

<file path=xl/sharedStrings.xml><?xml version="1.0" encoding="utf-8"?>
<sst xmlns="http://schemas.openxmlformats.org/spreadsheetml/2006/main" count="1297" uniqueCount="406">
  <si>
    <t>The column titles for this worksheet are in rows 3, 7, 8, and 11. They span cells A3, A7, A8 through B8, and A11. The data spans cells A9 through B9, and A12 through A15.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</si>
  <si>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School boards are optimizing air quality in schools through improved ventilation and filtration. 
Implemented measures are dependent on the type of ventilation and feasibility within the context of school facilities and related building systems.
This is a key element in the multiple protective strategies being employed to reduce the risk of COVID-19 transmission and support healthier and safe learning environments for students and staff.</t>
  </si>
  <si>
    <t>The column titles for this worksheet are in rows 5, 6, 7, and 12. They span cells A5, A6, A7 through B7, and A12. The data spans cells A8 through B11, and A12 through B12.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</si>
  <si>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5, 7, and 9. They span cells A5, A7, and A9. The data spans cells B10 through F19. Cell D5 has Sort options.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</si>
  <si>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School Name</t>
  </si>
  <si>
    <t>St. Matthew CSS</t>
  </si>
  <si>
    <t>Ventilation System</t>
  </si>
  <si>
    <t xml:space="preserve">School Ventilation and Filtration Measures* </t>
  </si>
  <si>
    <t xml:space="preserve">Ventilation assessed </t>
  </si>
  <si>
    <t>Running ventilation systems longer</t>
  </si>
  <si>
    <t>Higher grade filters installed</t>
  </si>
  <si>
    <t>Increased frequency of filter changes</t>
  </si>
  <si>
    <t>Increased fresh air intake (windows and/or mechanical ventilation systems)</t>
  </si>
  <si>
    <t xml:space="preserve">Standalone HEPA** filter units deployed in portables, as needed </t>
  </si>
  <si>
    <t>Standalone HEPA filter units in place</t>
  </si>
  <si>
    <t>*Some measures may not be feasible within the context of a school facility/site and related building systems.</t>
  </si>
  <si>
    <t>**High-Efficiency Particulate Air (HEPA)</t>
  </si>
  <si>
    <t>The column titles for this worksheet are in rows 1, 3, 13, 15, 16, and 17. They span cells B1 through C1, B3, B13, E15 through P15, E16 through P16, and E17 through P17. The data spans cells A5 though C29, and E18 through P19.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</si>
  <si>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Question</t>
  </si>
  <si>
    <t>Input Response:</t>
  </si>
  <si>
    <t>Legend</t>
  </si>
  <si>
    <t>TAB 1: Board Ventilation Strategy</t>
  </si>
  <si>
    <t>Calculated field</t>
  </si>
  <si>
    <t>Data entry field</t>
  </si>
  <si>
    <t xml:space="preserve"> Select Board Name</t>
  </si>
  <si>
    <t>Catholic DSB of Eastern Ontario</t>
  </si>
  <si>
    <t>&lt;- Select</t>
  </si>
  <si>
    <t>Identify your board strategy (in four bullets)</t>
  </si>
  <si>
    <t>&lt;- Enter here</t>
  </si>
  <si>
    <t>TAB 2: Board Level Investments</t>
  </si>
  <si>
    <t>Investments and Projects</t>
  </si>
  <si>
    <t>Funding Sources (Please Complete Expenditure Details)</t>
  </si>
  <si>
    <t>2020-21</t>
  </si>
  <si>
    <t>2021-22</t>
  </si>
  <si>
    <t>Calculated fields (3.1, 3.2, 3.5 and 3.8)</t>
  </si>
  <si>
    <t>$50M-Ventilation</t>
  </si>
  <si>
    <t>ICIP-CVRIS (Spent)</t>
  </si>
  <si>
    <t>SRA 
(Spent on Ventilation)</t>
  </si>
  <si>
    <t>SCI 
(Spent on Ventilation)</t>
  </si>
  <si>
    <t>Other Board Funding (Spent on Ventilation)</t>
  </si>
  <si>
    <t>$29.4M for filters and utilities</t>
  </si>
  <si>
    <t>HEPA Funding</t>
  </si>
  <si>
    <t>Hepa Funding (Approx. $ value for HEPA units provided)</t>
  </si>
  <si>
    <t>Ventilation Funding Allocated in 2020-21</t>
  </si>
  <si>
    <t>Ventilation Funding Allocated in 2021-22</t>
  </si>
  <si>
    <t>ENTER</t>
  </si>
  <si>
    <t>Ventilation Projects Completed (2020-21)</t>
  </si>
  <si>
    <t>Number of Schools Receiving an Investment (2020-21)</t>
  </si>
  <si>
    <t>% of Schools Open and Operating Receiving an Investment (2020-21)</t>
  </si>
  <si>
    <t>&lt;- Calculated</t>
  </si>
  <si>
    <t>Ventilation Projects to be Completed (2021-22)</t>
  </si>
  <si>
    <t>Number of Schools Receiving an Investment (2021-22)</t>
  </si>
  <si>
    <t>% of Schools Open and Operating Receiving an Investment (2021-22)</t>
  </si>
  <si>
    <t xml:space="preserve">Standalone HEPA Filter Units Deployed          </t>
  </si>
  <si>
    <t>.</t>
  </si>
  <si>
    <t>The column titles for this worksheet are in rows 2, 4, and 5. They span cells A2 through N2, A4 through N4, and A5 through N5. The data spans cells A6 through O114. Cells A5 through M5 have Sort options.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</si>
  <si>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These are drop down options →</t>
  </si>
  <si>
    <t>Mechanical Ventilation, 
Partial Mechanical Ventilation,
Non-Mechanical Ventilation (Natural Ventilation / Exhaust Only)</t>
  </si>
  <si>
    <t>Yes/No/NA</t>
  </si>
  <si>
    <t>Numbers #</t>
  </si>
  <si>
    <t>Enter School Details</t>
  </si>
  <si>
    <t>Identify Ventilation Measures</t>
  </si>
  <si>
    <t>Name of School Facility</t>
  </si>
  <si>
    <t>Building ID</t>
  </si>
  <si>
    <t>Type of School Facility Ventilation</t>
  </si>
  <si>
    <t xml:space="preserve">HEPA units deployed in portables, as needed </t>
  </si>
  <si>
    <t>Board ID</t>
  </si>
  <si>
    <t>Bishop Macdonell</t>
  </si>
  <si>
    <t>7003-1</t>
  </si>
  <si>
    <t>Partial Mechanical Ventilation</t>
  </si>
  <si>
    <t>Yes</t>
  </si>
  <si>
    <t>Holy Cross</t>
  </si>
  <si>
    <t>7153-1</t>
  </si>
  <si>
    <t>Mechanical Ventilation</t>
  </si>
  <si>
    <t>Holy Name of Mary</t>
  </si>
  <si>
    <t>10220-1</t>
  </si>
  <si>
    <t>Holy Trinity CSS</t>
  </si>
  <si>
    <t>11263-1</t>
  </si>
  <si>
    <t>Iona Academy</t>
  </si>
  <si>
    <t>7054-1</t>
  </si>
  <si>
    <t>NA</t>
  </si>
  <si>
    <t>J. L. Jordan</t>
  </si>
  <si>
    <t>7029-1</t>
  </si>
  <si>
    <t>Mother Teresa</t>
  </si>
  <si>
    <t>7398-1</t>
  </si>
  <si>
    <t>Notre Dame CHS</t>
  </si>
  <si>
    <t>5088-1</t>
  </si>
  <si>
    <t>Our Lady of Good Counsel</t>
  </si>
  <si>
    <t>8563-1</t>
  </si>
  <si>
    <t>Pope John Paul</t>
  </si>
  <si>
    <t>7367-1</t>
  </si>
  <si>
    <t>Sacred Heart - Cornwall</t>
  </si>
  <si>
    <t>5049-1</t>
  </si>
  <si>
    <t xml:space="preserve">Sacred Heart of Jesus </t>
  </si>
  <si>
    <t>7422-1</t>
  </si>
  <si>
    <t>St. Andrew</t>
  </si>
  <si>
    <t>7464-1</t>
  </si>
  <si>
    <t>St. Anne</t>
  </si>
  <si>
    <t>7480-1</t>
  </si>
  <si>
    <t>St. Edward</t>
  </si>
  <si>
    <t>7611-1</t>
  </si>
  <si>
    <t>St. Finnan's</t>
  </si>
  <si>
    <t>7362-1</t>
  </si>
  <si>
    <t>St. Francis de Sales CES</t>
  </si>
  <si>
    <t>7694-1</t>
  </si>
  <si>
    <t>St. Francis Xavier - Brockville</t>
  </si>
  <si>
    <t>7645-1</t>
  </si>
  <si>
    <t>St. Francix Xavier CHS</t>
  </si>
  <si>
    <t>5118-1</t>
  </si>
  <si>
    <t>St. Gregory</t>
  </si>
  <si>
    <t>11085-1</t>
  </si>
  <si>
    <t>St. John Bosco - Brockville</t>
  </si>
  <si>
    <t>7726-1</t>
  </si>
  <si>
    <t>St. John CHS</t>
  </si>
  <si>
    <t>7737-1</t>
  </si>
  <si>
    <t>St. John Elementary</t>
  </si>
  <si>
    <t>3016-1</t>
  </si>
  <si>
    <t>St. Joseph - Gananoque</t>
  </si>
  <si>
    <t>7777-1</t>
  </si>
  <si>
    <t>St. Joseph - Toledo</t>
  </si>
  <si>
    <t>7211-1</t>
  </si>
  <si>
    <t>St. Jude</t>
  </si>
  <si>
    <t>7272-1</t>
  </si>
  <si>
    <t>St. Luke CHS</t>
  </si>
  <si>
    <t>10385-1</t>
  </si>
  <si>
    <t>St. Mark</t>
  </si>
  <si>
    <t>7779-1</t>
  </si>
  <si>
    <t>St. Mary - Carleton Place</t>
  </si>
  <si>
    <t>7869-1</t>
  </si>
  <si>
    <t>St. Mary - Chesterville</t>
  </si>
  <si>
    <t>7870-1</t>
  </si>
  <si>
    <t>St. Mary - St. Cecilia</t>
  </si>
  <si>
    <t>7874-1</t>
  </si>
  <si>
    <t>St. Mary CHS</t>
  </si>
  <si>
    <t>5201-1</t>
  </si>
  <si>
    <t>7582-1</t>
  </si>
  <si>
    <t>St. Michael CHS</t>
  </si>
  <si>
    <t>5015-1</t>
  </si>
  <si>
    <t>St. Patrick</t>
  </si>
  <si>
    <t>7397-1</t>
  </si>
  <si>
    <t>St. Peter</t>
  </si>
  <si>
    <t>7959-1</t>
  </si>
  <si>
    <t>St. Thomas Aquinas CHS</t>
  </si>
  <si>
    <t>11112-1</t>
  </si>
  <si>
    <t>The column titles for this worksheet are in rows 1 and 2. They span cells D1 through P1, and A2 through O2. The data spans cells A3 through P78.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</si>
  <si>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Board DropDownList</t>
  </si>
  <si>
    <t>Summer 2021</t>
  </si>
  <si>
    <t>21-22 SY</t>
  </si>
  <si>
    <t>X1000</t>
  </si>
  <si>
    <t>Index</t>
  </si>
  <si>
    <t>DSBNo</t>
  </si>
  <si>
    <t>DSB Name</t>
  </si>
  <si>
    <t>HVAC</t>
  </si>
  <si>
    <t>Windows</t>
  </si>
  <si>
    <t>Total $</t>
  </si>
  <si>
    <t>Ventilation Funding</t>
  </si>
  <si>
    <t>Windows Funding</t>
  </si>
  <si>
    <t>Ventilation</t>
  </si>
  <si>
    <t>SRA</t>
  </si>
  <si>
    <t>Project Count</t>
  </si>
  <si>
    <t>HEPA Units</t>
  </si>
  <si>
    <t>Facilities with No Mechanical Ventilation</t>
  </si>
  <si>
    <t>Aug 2020 $50M</t>
  </si>
  <si>
    <t>Feb 2021 $50M</t>
  </si>
  <si>
    <t>$29.4M for Filters</t>
  </si>
  <si>
    <t>Funding for HEPA units</t>
  </si>
  <si>
    <t>HEPA units</t>
  </si>
  <si>
    <t>HVAC System Type</t>
  </si>
  <si>
    <t>DSB Ontario North East</t>
  </si>
  <si>
    <t>Algoma DSB</t>
  </si>
  <si>
    <t>Rainbow DSB</t>
  </si>
  <si>
    <t>Non-Mechanical Ventilation (Natural Ventilation / Exhaust Only)</t>
  </si>
  <si>
    <t>Near North DSB</t>
  </si>
  <si>
    <t>5A</t>
  </si>
  <si>
    <t>Keewatin-Patricia DSB</t>
  </si>
  <si>
    <t>5B</t>
  </si>
  <si>
    <t>Rainy River DSB</t>
  </si>
  <si>
    <t>6A</t>
  </si>
  <si>
    <t>Lakehead DSB</t>
  </si>
  <si>
    <t>6B</t>
  </si>
  <si>
    <t>Superior-Greenstone DSB</t>
  </si>
  <si>
    <t>Bluewater DSB</t>
  </si>
  <si>
    <t>Avon Maitland DSB</t>
  </si>
  <si>
    <t>Greater Essex County DSB</t>
  </si>
  <si>
    <t>Lambton Kent DSB</t>
  </si>
  <si>
    <t>Thames Valley DSB</t>
  </si>
  <si>
    <t>Toronto DSB</t>
  </si>
  <si>
    <t>Durham DSB</t>
  </si>
  <si>
    <t>Kawartha Pine Ridge DSB</t>
  </si>
  <si>
    <t>Trillium Lakelands DSB</t>
  </si>
  <si>
    <t>York Region DSB</t>
  </si>
  <si>
    <t>Simcoe County DSB</t>
  </si>
  <si>
    <t>Upper Grand DSB</t>
  </si>
  <si>
    <t>Peel DSB</t>
  </si>
  <si>
    <t>Halton DSB</t>
  </si>
  <si>
    <t>Hamilton-Wentworth DSB</t>
  </si>
  <si>
    <t>DSB of Niagara</t>
  </si>
  <si>
    <t>Grand Erie DSB</t>
  </si>
  <si>
    <t>Waterloo Region DSB</t>
  </si>
  <si>
    <t>Ottawa-Carleton DSB</t>
  </si>
  <si>
    <t>Upper Canada DSB</t>
  </si>
  <si>
    <t>Limestone DSB</t>
  </si>
  <si>
    <t>Renfrew County DSB</t>
  </si>
  <si>
    <t>Hastings and Prince Edward DSB</t>
  </si>
  <si>
    <t>30A</t>
  </si>
  <si>
    <t>Northeastern Catholic DSB</t>
  </si>
  <si>
    <t>30B</t>
  </si>
  <si>
    <t>Nipissing-Parry Sound Catholic DSB</t>
  </si>
  <si>
    <t>Huron-Superior Catholic DSB</t>
  </si>
  <si>
    <t>Sudbury Catholic DSB</t>
  </si>
  <si>
    <t>33A</t>
  </si>
  <si>
    <t>Northwest Catholic DSB</t>
  </si>
  <si>
    <t>33B</t>
  </si>
  <si>
    <t>Kenora Catholic DSB</t>
  </si>
  <si>
    <t>34A</t>
  </si>
  <si>
    <t>Thunder Bay Catholic DSB</t>
  </si>
  <si>
    <t>34B</t>
  </si>
  <si>
    <t>Superior North Catholic DSB</t>
  </si>
  <si>
    <t>Bruce-Grey Catholic DSB</t>
  </si>
  <si>
    <t>Huron Perth Catholic DSB</t>
  </si>
  <si>
    <t>Windsor-Essex Catholic DSB</t>
  </si>
  <si>
    <t>London District Catholic School Board</t>
  </si>
  <si>
    <t>St. Clair Catholic DSB</t>
  </si>
  <si>
    <t>Toronto Catholic DSB</t>
  </si>
  <si>
    <t>Peterborough V N C Catholic DSB</t>
  </si>
  <si>
    <t>York Catholic DSB</t>
  </si>
  <si>
    <t>Dufferin-Peel Catholic DSB</t>
  </si>
  <si>
    <t>Simcoe Muskoka Catholic DSB</t>
  </si>
  <si>
    <t>Durham Catholic DSB</t>
  </si>
  <si>
    <t>Halton Catholic DSB</t>
  </si>
  <si>
    <t>Hamilton-Wentworth Catholic DSB</t>
  </si>
  <si>
    <t>Wellington Catholic DSB</t>
  </si>
  <si>
    <t>Waterloo Catholic DSB</t>
  </si>
  <si>
    <t>Niagara Catholic DSB</t>
  </si>
  <si>
    <t>Brant Haldimand Norfolk Catholic DSB</t>
  </si>
  <si>
    <t>Ottawa Catholic DSB</t>
  </si>
  <si>
    <t>Renfrew County Catholic DSB</t>
  </si>
  <si>
    <t>Algonquin and Lakeshore Catholic DSB</t>
  </si>
  <si>
    <t>CSD du Nord-Est de l'Ontario</t>
  </si>
  <si>
    <t>CSD du Grand Nord de l'Ontario</t>
  </si>
  <si>
    <t>CS Viamonde</t>
  </si>
  <si>
    <t>CÉP de l'Est de l'Ontario</t>
  </si>
  <si>
    <t>60A</t>
  </si>
  <si>
    <t>CSD catholique des Grandes Rivières</t>
  </si>
  <si>
    <t>60B</t>
  </si>
  <si>
    <t>CSD catholique Franco-Nord</t>
  </si>
  <si>
    <t>CSD catholique du Nouvel-Ontario</t>
  </si>
  <si>
    <t>CSD catholique des Aurores boréales</t>
  </si>
  <si>
    <t>CS catholique Providence</t>
  </si>
  <si>
    <t>CS catholique Mon Avenir</t>
  </si>
  <si>
    <t>CSD catholique de l'Est ontarien</t>
  </si>
  <si>
    <t>CSD catholique du Centre-Est de l'Ontario</t>
  </si>
  <si>
    <t>James Bay Lowlands SSB</t>
  </si>
  <si>
    <t>Moose Factory Island DSAB</t>
  </si>
  <si>
    <t>Moosonee DSAB</t>
  </si>
  <si>
    <t>Protestant SSB</t>
  </si>
  <si>
    <t xml:space="preserve">St. Joseph CHS </t>
  </si>
  <si>
    <t>Optimize air quality systems at all facilities to ensure the health and safety for all CDSBEO students, staff, and partners.</t>
  </si>
  <si>
    <t>Research and implement technologies to enhance our ventilation systems.</t>
  </si>
  <si>
    <t>Utilize all resources at our disposal to improve our indoor air quality.</t>
  </si>
  <si>
    <t>Continue frequent routine maintenance and inspections of our ventilation system to ensure optimal performance.</t>
  </si>
  <si>
    <t>School</t>
  </si>
  <si>
    <t>Project</t>
  </si>
  <si>
    <t>Budget Code</t>
  </si>
  <si>
    <t>BCU Upgrade to Tracer SC - TRANE - Done</t>
  </si>
  <si>
    <t>42-000-654-3657-1-11</t>
  </si>
  <si>
    <t>Addition of Roof Top Units - removing Heat Pumps - Contractor - 2019-20 Carry Over</t>
  </si>
  <si>
    <t>45-000-654-6083-1-20</t>
  </si>
  <si>
    <t>Architectural/Engineering for Roof Top Units - removing Heat Pumps - Carry Over from 2019-20</t>
  </si>
  <si>
    <t>45-000-654-6078-1-20</t>
  </si>
  <si>
    <t>Arch/Engineering for roof &amp; RTU/HVAC over 82 addition</t>
  </si>
  <si>
    <t>45-000-653-6096-1-21</t>
  </si>
  <si>
    <t>Addition of A/C for the second floor (new windows prevent individual units that were in place from being used).  With heat risign, it gets very hot on that floor - roof &amp; RTU/HVAC</t>
  </si>
  <si>
    <t>46-000-654-0000-1-21</t>
  </si>
  <si>
    <t>Addition of RTU's complete building 2021-Arch/Eng services only</t>
  </si>
  <si>
    <t>45-000-654-6107-1-25</t>
  </si>
  <si>
    <t xml:space="preserve">Pope John Paul </t>
  </si>
  <si>
    <t>46-000-654-0000-1-40 (HVAC)
42-000-654-3577-1-40 (Lighting &amp; Locker)</t>
  </si>
  <si>
    <t>Architectural/Engineering  for A/C and new lighting throughout the school - 2019-20 Carry Over</t>
  </si>
  <si>
    <t>St. Andrew's</t>
  </si>
  <si>
    <t>Addition of RTU's complete building 2021 - Arch/Eng services only</t>
  </si>
  <si>
    <t>45-000-654-6108-1-44</t>
  </si>
  <si>
    <t>Add air conditioning in south end of the building and replace the last section of roof - Section 2.0 - Contractor 2019-20 Carry Over</t>
  </si>
  <si>
    <t>47-000-654-0000-1-45</t>
  </si>
  <si>
    <t>Addition of air conditioning for upstairs classrooms - Arch/Eng Services</t>
  </si>
  <si>
    <t>45-000-654-6109-1-47</t>
  </si>
  <si>
    <t>Addition of RTU's complete building - Arch/Eng services only</t>
  </si>
  <si>
    <t>45-000-653-6094-1-56</t>
  </si>
  <si>
    <t>Addition of RTU's complete building - Contractor only - Starting Mon. June 14</t>
  </si>
  <si>
    <t>46-000-654-0000-1-56</t>
  </si>
  <si>
    <t>Addition of RTU's complete building - Contractor only - Budget Account # 42-000 Figures</t>
  </si>
  <si>
    <t>42-000-654-3615-1-56</t>
  </si>
  <si>
    <t>42-000-654-3656-4-76</t>
  </si>
  <si>
    <t>Replace 2 MUA units for change rooms &amp; Kitchen.  (Remove old MUA unit, roof repair, and interlock the MUA with the exhaust in the kitchen. - SINGLE SOURCE NEEDED - 2019-20 Carry Over</t>
  </si>
  <si>
    <t>45-000-654-6086-4-77</t>
  </si>
  <si>
    <t>Replace two cooling coils-Emergency April 2021 - waiting to be installed</t>
  </si>
  <si>
    <t>St. Joseph CSS</t>
  </si>
  <si>
    <t>Addition of a/c (HVAC) in the Large gymnasium, including LED lighting - ASCO - Start June 14</t>
  </si>
  <si>
    <t>45-000-654-6098-4-85</t>
  </si>
  <si>
    <t>Replace two cooling coils-Emergency late 2020 Christmas</t>
  </si>
  <si>
    <t>45-000-654-6093-4-85</t>
  </si>
  <si>
    <t>Upgrade Pneumatic Control on AC7 with a new DDC unit Control System</t>
  </si>
  <si>
    <t>45-000-654-3672-4-85</t>
  </si>
  <si>
    <t>Category</t>
  </si>
  <si>
    <t>Federal Air Quality cc3171</t>
  </si>
  <si>
    <t>Federal Air Quality cc3187</t>
  </si>
  <si>
    <t>HEPA Air Filters</t>
  </si>
  <si>
    <t>HEPPA Units</t>
  </si>
  <si>
    <t>Replace 3 old RTU's for improved efficiency and ventilation (CVRIS)</t>
  </si>
  <si>
    <t xml:space="preserve"> BAS Automation (SR)</t>
  </si>
  <si>
    <t xml:space="preserve">Replace 1 old RTU's for improved efficiency and ventilation(CVRIS)  </t>
  </si>
  <si>
    <t xml:space="preserve">BAS System(SR) </t>
  </si>
  <si>
    <t xml:space="preserve">Replace 5 old RTU's for improved efficiency and ventilation(CVRIS) </t>
  </si>
  <si>
    <t xml:space="preserve">Replace 4 old RTU's for improved efficiency and ventilation(CVRIS) </t>
  </si>
  <si>
    <t>BAS Automation (SR)</t>
  </si>
  <si>
    <t>Grand Total</t>
  </si>
  <si>
    <t># of RTU Units Replaced</t>
  </si>
  <si>
    <t># of RTU Units Added</t>
  </si>
  <si>
    <t>PO65975 Trane - BAS modifications</t>
  </si>
  <si>
    <t>Replace 1 old RTU's for improved efficiency and ventilation(CVRIS)</t>
  </si>
  <si>
    <t>Replace 7 old RTU's for improved efficiency and ventilation(CVRIS)</t>
  </si>
  <si>
    <t xml:space="preserve">Replace 6 old RTU's for improved efficiency and ventilation (CVRIS) </t>
  </si>
  <si>
    <t>Replace 7 old RTU's for improved efficiency and ventilation (CVRIS)</t>
  </si>
  <si>
    <t xml:space="preserve"> Bas Automation (SR)</t>
  </si>
  <si>
    <t>Replace 6 old RTU's for improved efficiency and ventilation(CVRIS)</t>
  </si>
  <si>
    <t>Building Automation System</t>
  </si>
  <si>
    <t>RTU Replacement</t>
  </si>
  <si>
    <t>Values</t>
  </si>
  <si>
    <t>St. Mary CHS Total</t>
  </si>
  <si>
    <r>
      <t>Addition of A/C (RTU/HVAC) and new lighting throughout the school - Phase I - Contractor                                                                                                                           Final Phase of Locker removal 2021 - RFQ Closed awaiting approval</t>
    </r>
    <r>
      <rPr>
        <b/>
        <sz val="12"/>
        <color rgb="FF0000FF"/>
        <rFont val="Bookman Old Style"/>
        <family val="1"/>
      </rPr>
      <t xml:space="preserve"> - Add to the RTU/HVAC-New lighting project</t>
    </r>
  </si>
  <si>
    <t>46-000-654-0000-1-10(HVAC)</t>
  </si>
  <si>
    <t xml:space="preserve">42-000-654-3336-1-10(BAS)     </t>
  </si>
  <si>
    <t xml:space="preserve"> 46-000-654-0000-4-75 (HVAC)</t>
  </si>
  <si>
    <t xml:space="preserve">42-000-654-3336-4-75 (BAS) </t>
  </si>
  <si>
    <t>46-000-654-0000-1-42 (HVAC)</t>
  </si>
  <si>
    <t xml:space="preserve">42-000-654-3336-1-42(BAS)   </t>
  </si>
  <si>
    <t xml:space="preserve">   46-000-654-0000-1-35 (HVAC)</t>
  </si>
  <si>
    <t>42-000-654-3336-1-35 (BAS)</t>
  </si>
  <si>
    <t xml:space="preserve">  46-000-654-0000-1-25 (HVAC)</t>
  </si>
  <si>
    <t>42-000-654-3336-1-25 (BAS)</t>
  </si>
  <si>
    <t xml:space="preserve">  46-000-654-0000-4-76 (HVAC)</t>
  </si>
  <si>
    <t xml:space="preserve">42-000-654-3336-4-76 (BAS)  </t>
  </si>
  <si>
    <t>46-000-654-0000-4-85 (HVAC)</t>
  </si>
  <si>
    <t xml:space="preserve">42-000-654-3336-4-85 (BAS)  </t>
  </si>
  <si>
    <t xml:space="preserve">  46-000-654-0000-4-77(HVAC)</t>
  </si>
  <si>
    <t xml:space="preserve">42-000-654-3336-4-77 (BAS) </t>
  </si>
  <si>
    <t xml:space="preserve"> 42-000-654-3338-4-78 (SR part of HVAC)       46-000-654-0000-4-78 (HVAC)</t>
  </si>
  <si>
    <t xml:space="preserve">42-000-654-3336-4-78(BAS)  </t>
  </si>
  <si>
    <t>2020-2021 SR</t>
  </si>
  <si>
    <t>2020-2021 SCI</t>
  </si>
  <si>
    <t>2020-2021 CVRIS (F46)</t>
  </si>
  <si>
    <t>2020-2021 CAIF (F47)</t>
  </si>
  <si>
    <t># of HEPPA Units</t>
  </si>
  <si>
    <t xml:space="preserve"> # of RTU Units Added</t>
  </si>
  <si>
    <t xml:space="preserve"> # of RTU Units Replaced</t>
  </si>
  <si>
    <t xml:space="preserve"> 2020-2021 SR</t>
  </si>
  <si>
    <t xml:space="preserve"> 2020-2021 SCI</t>
  </si>
  <si>
    <t xml:space="preserve"> 2020-2021 CVRIS (F46)</t>
  </si>
  <si>
    <t xml:space="preserve"> 2020-2021 CAIF (F47)</t>
  </si>
  <si>
    <t xml:space="preserve"> Federal Air Quality cc3187</t>
  </si>
  <si>
    <t xml:space="preserve"> Federal Air Quality cc3171</t>
  </si>
  <si>
    <t>2021-2022 CVRIS (F46)</t>
  </si>
  <si>
    <t>HVAC Upgrades</t>
  </si>
  <si>
    <t>2021-2022 Filter Funding</t>
  </si>
  <si>
    <t>Sacred Heart of Jesus Catholic School</t>
  </si>
  <si>
    <t>St. Andrew’s Catholic School</t>
  </si>
  <si>
    <t>2021-2022 SCI</t>
  </si>
  <si>
    <t>Engineering HVAC</t>
  </si>
  <si>
    <t>Complete HVAC replacement</t>
  </si>
  <si>
    <t>BAS replacement of JCI for improved efficiency</t>
  </si>
  <si>
    <t>Phase 2</t>
  </si>
  <si>
    <t>Add ventilation to 2nd floor</t>
  </si>
  <si>
    <t xml:space="preserve">BAS upgrade </t>
  </si>
  <si>
    <t>and replace Changeair units and boiler plant</t>
  </si>
  <si>
    <t xml:space="preserve">Add Building Automation System for </t>
  </si>
  <si>
    <t>CO2 and ventilation optimization, give remote access and monitoring</t>
  </si>
  <si>
    <t>HVAC Inspections &amp; Optimization</t>
  </si>
  <si>
    <t>Engineering Services Air Balancing and Indoor Air Quality Assessment (Phase 2 of IAQ assessments)</t>
  </si>
  <si>
    <t>Year</t>
  </si>
  <si>
    <t>BAS Modifications for Improved ventilation and HVAC inspections</t>
  </si>
  <si>
    <t>1 set of Merv 13 filters left on site as spare</t>
  </si>
  <si>
    <t xml:space="preserve">supply MERV 13 filters for 24 schools </t>
  </si>
  <si>
    <t>MERV 13 HVAC Filter</t>
  </si>
  <si>
    <t>Comfort Mechanical extra maintenance</t>
  </si>
  <si>
    <t>:ar-Mex Monthly Inspection 20/21</t>
  </si>
  <si>
    <t>larmex maintenance PO65978</t>
  </si>
  <si>
    <t>Board Funded 2020-2021</t>
  </si>
  <si>
    <t>Comfort Mechanical extra maintenance - PO 65977 remaining</t>
  </si>
  <si>
    <t>Comfort Mechanical extra maintenance - PO 65978 remaining</t>
  </si>
  <si>
    <t>Marleau HVAC PO65976</t>
  </si>
  <si>
    <t>HEPA Air Filters - PO67565</t>
  </si>
  <si>
    <t>Monthly Mechanical Inspection</t>
  </si>
  <si>
    <t>St. John Bosco</t>
  </si>
  <si>
    <t>HEPA Air Filters - austin air</t>
  </si>
  <si>
    <t>Excess HEPPA Units - To be deployed</t>
  </si>
  <si>
    <t>Maximum Funding</t>
  </si>
  <si>
    <t>Difference</t>
  </si>
  <si>
    <t>Number of HEPPA Air Filters</t>
  </si>
  <si>
    <t>St. Francis Brockville</t>
  </si>
  <si>
    <t>St. Joesph CHS</t>
  </si>
  <si>
    <t>St. Mary Chesterville</t>
  </si>
  <si>
    <t>Various Schools</t>
  </si>
  <si>
    <r>
      <rPr>
        <b/>
        <sz val="12"/>
        <color rgb="FFFF0000"/>
        <rFont val="Bookman Old Style"/>
        <family val="1"/>
      </rPr>
      <t>2020-2021</t>
    </r>
    <r>
      <rPr>
        <b/>
        <sz val="12"/>
        <rFont val="Bookman Old Style"/>
        <family val="1"/>
      </rPr>
      <t xml:space="preserve"> HEPA Funding</t>
    </r>
  </si>
  <si>
    <t>filters</t>
  </si>
  <si>
    <t xml:space="preserve"> 2020-2021 HEPA Funding</t>
  </si>
  <si>
    <t xml:space="preserve"> 2020-2021 HEPA Funding2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</si>
</sst>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Red]\-&quot;$&quot;#,##0"/>
    <numFmt numFmtId="165" formatCode="&quot;$&quot;#,##0.00;[Red]\-&quot;$&quot;#,##0.00"/>
    <numFmt numFmtId="166" formatCode="_-* #,##0.00_-;\-* #,##0.00_-;_-* &quot;-&quot;??_-;_-@_-"/>
    <numFmt numFmtId="167" formatCode="&quot;$&quot;#,##0.0&quot;M&quot;"/>
    <numFmt numFmtId="168" formatCode="_-* #,##0_-;\-* #,##0_-;_-* &quot;-&quot;??_-;_-@_-"/>
    <numFmt numFmtId="169" formatCode="&quot;$&quot;#,##0.00"/>
    <numFmt numFmtId="170" formatCode="_-* #,##0.0_-;\-* #,##0.0_-;_-* &quot;-&quot;??_-;_-@_-"/>
    <numFmt numFmtId="171" formatCode="_(* #,##0.0_);_(* \(#,##0.0\);_(* &quot;-&quot;??_);_(@_)"/>
  </numFmts>
  <fonts count="37">
    <font>
      <sz val="11"/>
      <color theme="1"/>
      <name val="Calibri"/>
      <family val="2"/>
      <scheme val="minor"/>
    </font>
    <font>
      <sz val="11"/>
      <color theme="0"/>
      <name val="Calibri"/>
      <family val="2"/>
      <scheme val="minor"/>
    </font>
    <font>
      <sz val="14"/>
      <color theme="1"/>
      <name val="Calibri"/>
      <family val="2"/>
      <scheme val="minor"/>
    </font>
    <font>
      <sz val="12"/>
      <color theme="1"/>
      <name val="Calibri"/>
      <family val="2"/>
      <scheme val="minor"/>
    </font>
    <font>
      <b/>
      <sz val="14"/>
      <color theme="1"/>
      <name val="Calibri"/>
      <family val="2"/>
      <scheme val="minor"/>
    </font>
    <font>
      <sz val="11"/>
      <color rgb="FFFF0000"/>
      <name val="Calibri"/>
      <family val="2"/>
      <scheme val="minor"/>
    </font>
    <font>
      <b/>
      <sz val="11"/>
      <color theme="1"/>
      <name val="Calibri"/>
      <family val="2"/>
      <scheme val="minor"/>
    </font>
    <font>
      <b/>
      <sz val="14"/>
      <color theme="0"/>
      <name val="Calibri"/>
      <family val="2"/>
      <scheme val="minor"/>
    </font>
    <font>
      <b/>
      <sz val="11"/>
      <name val="Calibri"/>
      <family val="2"/>
      <scheme val="minor"/>
    </font>
    <font>
      <sz val="11"/>
      <name val="Calibri"/>
      <family val="2"/>
      <scheme val="minor"/>
    </font>
    <font>
      <sz val="11"/>
      <color rgb="FF3F3F76"/>
      <name val="Calibri"/>
      <family val="2"/>
      <scheme val="minor"/>
    </font>
    <font>
      <b/>
      <sz val="11"/>
      <color theme="0"/>
      <name val="Calibri"/>
      <family val="2"/>
      <scheme val="minor"/>
    </font>
    <font>
      <sz val="11"/>
      <color theme="1"/>
      <name val="Calibri"/>
      <family val="2"/>
      <scheme val="minor"/>
    </font>
    <font>
      <b/>
      <sz val="11"/>
      <color rgb="FFFA7D00"/>
      <name val="Calibri"/>
      <family val="2"/>
      <scheme val="minor"/>
    </font>
    <font>
      <sz val="10"/>
      <color theme="1"/>
      <name val="Calibri"/>
      <family val="2"/>
      <scheme val="minor"/>
    </font>
    <font>
      <b/>
      <sz val="11"/>
      <color rgb="FFC00000"/>
      <name val="Calibri"/>
      <family val="2"/>
      <scheme val="minor"/>
    </font>
    <font>
      <b/>
      <sz val="10"/>
      <color theme="0"/>
      <name val="Calibri"/>
      <family val="2"/>
      <scheme val="minor"/>
    </font>
    <font>
      <sz val="10"/>
      <color theme="0"/>
      <name val="Calibri"/>
      <family val="2"/>
      <scheme val="minor"/>
    </font>
    <font>
      <sz val="12"/>
      <color theme="0"/>
      <name val="Calibri"/>
      <family val="2"/>
      <scheme val="minor"/>
    </font>
    <font>
      <sz val="12"/>
      <color rgb="FFC00000"/>
      <name val="Calibri"/>
      <family val="2"/>
      <scheme val="minor"/>
    </font>
    <font>
      <sz val="8"/>
      <name val="Calibri"/>
      <family val="2"/>
      <scheme val="minor"/>
    </font>
    <font>
      <sz val="11"/>
      <color theme="1"/>
      <name val="Calibri"/>
      <family val="2"/>
    </font>
    <font>
      <sz val="12"/>
      <name val="Calibri"/>
      <family val="2"/>
      <scheme val="minor"/>
    </font>
    <font>
      <i/>
      <sz val="10"/>
      <name val="Calibri"/>
      <family val="2"/>
      <scheme val="minor"/>
    </font>
    <font>
      <i/>
      <sz val="10"/>
      <color theme="1"/>
      <name val="Calibri"/>
      <family val="2"/>
      <scheme val="minor"/>
    </font>
    <font>
      <sz val="10.5"/>
      <color rgb="FF222A35"/>
      <name val="Calibri"/>
      <family val="2"/>
      <scheme val="minor"/>
    </font>
    <font>
      <sz val="12"/>
      <name val="Bookman Old Style"/>
      <family val="1"/>
    </font>
    <font>
      <b/>
      <sz val="12"/>
      <name val="Bookman Old Style"/>
      <family val="1"/>
    </font>
    <font>
      <sz val="12"/>
      <name val="Arial"/>
      <family val="2"/>
    </font>
    <font>
      <b/>
      <sz val="12"/>
      <color rgb="FF0000FF"/>
      <name val="Bookman Old Style"/>
      <family val="1"/>
    </font>
    <font>
      <sz val="12"/>
      <color rgb="FFFF0000"/>
      <name val="CG Times"/>
      <family val="1"/>
    </font>
    <font>
      <sz val="12"/>
      <color rgb="FFFF0000"/>
      <name val="Bookman Old Style"/>
      <family val="1"/>
    </font>
    <font>
      <sz val="12"/>
      <name val="CG Times"/>
      <family val="1"/>
    </font>
    <font>
      <b/>
      <sz val="12"/>
      <color rgb="FFFF0000"/>
      <name val="Bookman Old Style"/>
      <family val="1"/>
    </font>
    <font>
      <sz val="12"/>
      <color rgb="FF000000"/>
      <name val="Bookman Old Style"/>
      <family val="1"/>
    </font>
    <font>
      <sz val="12"/>
      <color rgb="FFFF0000"/>
      <name val="Arial"/>
      <family val="2"/>
    </font>
    <font>
      <b/>
      <sz val="12"/>
      <name val="Arial"/>
      <family val="2"/>
    </font>
  </fonts>
  <fills count="22">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3" tint="0.39994506668294322"/>
        <bgColor indexed="64"/>
      </patternFill>
    </fill>
    <fill>
      <patternFill patternType="solid">
        <fgColor theme="3" tint="0.39997558519241921"/>
        <bgColor indexed="64"/>
      </patternFill>
    </fill>
    <fill>
      <patternFill patternType="solid">
        <fgColor theme="5" tint="0.79998168889431442"/>
        <bgColor theme="4" tint="0.79998168889431442"/>
      </patternFill>
    </fill>
    <fill>
      <patternFill patternType="solid">
        <fgColor rgb="FFFFCC99"/>
      </patternFill>
    </fill>
    <fill>
      <patternFill patternType="solid">
        <fgColor rgb="FFF2F2F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rgb="FFC00000"/>
        <bgColor indexed="64"/>
      </patternFill>
    </fill>
    <fill>
      <patternFill patternType="solid">
        <fgColor theme="9" tint="0.79998168889431442"/>
        <bgColor indexed="65"/>
      </patternFill>
    </fill>
    <fill>
      <patternFill patternType="solid">
        <fgColor theme="1" tint="0.34998626667073579"/>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theme="4" tint="0.39997558519241921"/>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theme="0" tint="-4.9989318521683403E-2"/>
      </bottom>
      <diagonal/>
    </border>
    <border>
      <left/>
      <right/>
      <top style="medium">
        <color indexed="64"/>
      </top>
      <bottom style="medium">
        <color theme="0" tint="-4.9989318521683403E-2"/>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style="medium">
        <color indexed="64"/>
      </left>
      <right/>
      <top style="medium">
        <color theme="0" tint="-4.9989318521683403E-2"/>
      </top>
      <bottom style="medium">
        <color indexed="64"/>
      </bottom>
      <diagonal/>
    </border>
    <border>
      <left/>
      <right/>
      <top style="medium">
        <color theme="0" tint="-4.9989318521683403E-2"/>
      </top>
      <bottom style="medium">
        <color indexed="64"/>
      </bottom>
      <diagonal/>
    </border>
    <border>
      <left style="medium">
        <color theme="0"/>
      </left>
      <right/>
      <top style="medium">
        <color theme="0"/>
      </top>
      <bottom style="medium">
        <color indexed="64"/>
      </bottom>
      <diagonal/>
    </border>
    <border>
      <left/>
      <right/>
      <top style="medium">
        <color theme="0"/>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rgb="FF7F7F7F"/>
      </right>
      <top style="thin">
        <color rgb="FF7F7F7F"/>
      </top>
      <bottom style="thin">
        <color rgb="FF7F7F7F"/>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bottom style="medium">
        <color indexed="64"/>
      </bottom>
      <diagonal/>
    </border>
    <border>
      <left/>
      <right style="thin">
        <color indexed="64"/>
      </right>
      <top style="thin">
        <color indexed="64"/>
      </top>
      <bottom/>
      <diagonal/>
    </border>
    <border>
      <left style="thin">
        <color rgb="FF7F7F7F"/>
      </left>
      <right style="thin">
        <color rgb="FF7F7F7F"/>
      </right>
      <top style="thin">
        <color indexed="64"/>
      </top>
      <bottom style="thin">
        <color indexed="64"/>
      </bottom>
      <diagonal/>
    </border>
    <border>
      <left style="medium">
        <color indexed="64"/>
      </left>
      <right style="thin">
        <color rgb="FF7F7F7F"/>
      </right>
      <top style="thin">
        <color rgb="FF7F7F7F"/>
      </top>
      <bottom style="medium">
        <color indexed="64"/>
      </bottom>
      <diagonal/>
    </border>
    <border>
      <left style="medium">
        <color indexed="64"/>
      </left>
      <right style="thin">
        <color rgb="FF7F7F7F"/>
      </right>
      <top style="medium">
        <color indexed="64"/>
      </top>
      <bottom style="thin">
        <color rgb="FF7F7F7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0" fillId="7" borderId="6" applyNumberFormat="0" applyAlignment="0" applyProtection="0"/>
    <xf numFmtId="0" fontId="13" fillId="8" borderId="6" applyNumberFormat="0" applyAlignment="0" applyProtection="0"/>
    <xf numFmtId="0" fontId="12" fillId="13" borderId="0" applyNumberFormat="0" applyBorder="0" applyAlignment="0" applyProtection="0"/>
    <xf numFmtId="166"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cellStyleXfs>
  <cellXfs count="202">
    <xf numFmtId="0" fontId="0" fillId="0" borderId="0" xfId="0"/>
    <xf numFmtId="0" fontId="0" fillId="3" borderId="0" xfId="0" applyFill="1"/>
    <xf numFmtId="0" fontId="1" fillId="3" borderId="0" xfId="0" applyFont="1" applyFill="1"/>
    <xf numFmtId="0" fontId="4" fillId="3" borderId="2" xfId="0" applyFont="1" applyFill="1" applyBorder="1" applyAlignment="1">
      <alignment vertical="center"/>
    </xf>
    <xf numFmtId="0" fontId="4" fillId="3" borderId="3" xfId="0" applyFont="1" applyFill="1" applyBorder="1" applyAlignment="1">
      <alignment vertical="center"/>
    </xf>
    <xf numFmtId="0" fontId="2" fillId="3" borderId="2" xfId="0" applyFont="1" applyFill="1" applyBorder="1" applyAlignment="1">
      <alignment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1" fillId="3" borderId="3" xfId="0" applyFont="1" applyFill="1" applyBorder="1" applyAlignment="1">
      <alignment horizontal="center" vertical="center"/>
    </xf>
    <xf numFmtId="0" fontId="3" fillId="3" borderId="3" xfId="0" applyFont="1" applyFill="1" applyBorder="1" applyAlignment="1">
      <alignment vertical="center" wrapText="1"/>
    </xf>
    <xf numFmtId="0" fontId="1" fillId="3" borderId="0" xfId="0" applyFont="1" applyFill="1" applyBorder="1" applyAlignment="1">
      <alignment horizontal="center" vertical="center"/>
    </xf>
    <xf numFmtId="0" fontId="0" fillId="3" borderId="0" xfId="0" applyFill="1" applyBorder="1" applyAlignment="1">
      <alignment horizontal="left" vertical="center"/>
    </xf>
    <xf numFmtId="0" fontId="5" fillId="3" borderId="0" xfId="0" applyFont="1" applyFill="1" applyAlignment="1">
      <alignment vertical="center"/>
    </xf>
    <xf numFmtId="0" fontId="6" fillId="0" borderId="0" xfId="0" applyFont="1"/>
    <xf numFmtId="0" fontId="0" fillId="0" borderId="0" xfId="0" applyAlignment="1">
      <alignment horizontal="center"/>
    </xf>
    <xf numFmtId="0" fontId="6" fillId="6" borderId="0" xfId="0" applyFont="1" applyFill="1"/>
    <xf numFmtId="2" fontId="0" fillId="0" borderId="0" xfId="0" applyNumberFormat="1"/>
    <xf numFmtId="0" fontId="6" fillId="0" borderId="0" xfId="0" applyFont="1" applyAlignment="1">
      <alignment horizontal="center" vertical="center"/>
    </xf>
    <xf numFmtId="0" fontId="3" fillId="3" borderId="2" xfId="0" applyFont="1" applyFill="1" applyBorder="1" applyAlignment="1">
      <alignment vertical="center" wrapText="1"/>
    </xf>
    <xf numFmtId="0" fontId="6" fillId="6" borderId="0" xfId="0" applyFont="1" applyFill="1" applyAlignment="1">
      <alignment wrapText="1"/>
    </xf>
    <xf numFmtId="0" fontId="6" fillId="0" borderId="0" xfId="0" applyFont="1" applyAlignment="1">
      <alignment horizontal="left" vertical="center"/>
    </xf>
    <xf numFmtId="0" fontId="0" fillId="0" borderId="0" xfId="0" applyAlignment="1">
      <alignment horizontal="left"/>
    </xf>
    <xf numFmtId="0" fontId="10" fillId="7" borderId="6" xfId="1" applyAlignment="1">
      <alignment horizontal="left" vertical="center"/>
    </xf>
    <xf numFmtId="0" fontId="6" fillId="9" borderId="0" xfId="0" applyFont="1" applyFill="1" applyAlignment="1">
      <alignment horizontal="center" vertical="center"/>
    </xf>
    <xf numFmtId="0" fontId="6" fillId="9" borderId="0" xfId="0" applyFont="1" applyFill="1" applyAlignment="1">
      <alignment horizontal="left" vertical="center"/>
    </xf>
    <xf numFmtId="0" fontId="0" fillId="9" borderId="0" xfId="0" applyFill="1"/>
    <xf numFmtId="1" fontId="10" fillId="7" borderId="6" xfId="1" applyNumberFormat="1"/>
    <xf numFmtId="0" fontId="0" fillId="0" borderId="0" xfId="0" applyAlignment="1">
      <alignment horizontal="center" vertical="center"/>
    </xf>
    <xf numFmtId="0" fontId="0" fillId="0" borderId="0" xfId="0" applyAlignment="1">
      <alignment horizontal="left" vertical="center"/>
    </xf>
    <xf numFmtId="0" fontId="6" fillId="10" borderId="0" xfId="0" applyFont="1" applyFill="1" applyAlignment="1">
      <alignment horizontal="center" vertical="center"/>
    </xf>
    <xf numFmtId="0" fontId="6" fillId="10" borderId="0" xfId="0" applyFont="1" applyFill="1" applyAlignment="1">
      <alignment horizontal="left" vertical="center" wrapText="1"/>
    </xf>
    <xf numFmtId="0" fontId="6" fillId="10" borderId="0" xfId="0" applyFont="1" applyFill="1" applyAlignment="1">
      <alignment horizontal="left" vertical="center"/>
    </xf>
    <xf numFmtId="0" fontId="6" fillId="0" borderId="0" xfId="0" applyFont="1" applyAlignment="1">
      <alignment horizontal="left" wrapText="1"/>
    </xf>
    <xf numFmtId="0" fontId="11" fillId="12" borderId="0" xfId="0" applyFont="1" applyFill="1" applyAlignment="1">
      <alignment horizontal="center" vertical="center"/>
    </xf>
    <xf numFmtId="0" fontId="11" fillId="12" borderId="0" xfId="0" applyFont="1" applyFill="1" applyAlignment="1">
      <alignment horizontal="center"/>
    </xf>
    <xf numFmtId="0" fontId="0" fillId="0" borderId="0" xfId="0" applyFont="1" applyAlignment="1">
      <alignment horizontal="center"/>
    </xf>
    <xf numFmtId="0" fontId="11" fillId="12" borderId="7" xfId="0" applyFont="1" applyFill="1" applyBorder="1"/>
    <xf numFmtId="0" fontId="11" fillId="12" borderId="8" xfId="0" applyFont="1" applyFill="1" applyBorder="1"/>
    <xf numFmtId="0" fontId="11" fillId="12" borderId="8" xfId="0" applyFont="1" applyFill="1" applyBorder="1" applyAlignment="1">
      <alignment horizontal="left" vertical="center"/>
    </xf>
    <xf numFmtId="0" fontId="11" fillId="12" borderId="9" xfId="0" applyFont="1" applyFill="1" applyBorder="1" applyAlignment="1">
      <alignment horizontal="left" vertical="center"/>
    </xf>
    <xf numFmtId="0" fontId="11" fillId="12" borderId="10" xfId="0" applyFont="1" applyFill="1" applyBorder="1" applyAlignment="1">
      <alignment horizontal="left" vertical="center"/>
    </xf>
    <xf numFmtId="0" fontId="11" fillId="11" borderId="11" xfId="0" applyFont="1" applyFill="1" applyBorder="1" applyAlignment="1">
      <alignment horizontal="left" vertical="center" wrapText="1"/>
    </xf>
    <xf numFmtId="0" fontId="11" fillId="11" borderId="12" xfId="0" applyFont="1" applyFill="1" applyBorder="1" applyAlignment="1">
      <alignment horizontal="left" vertical="center" wrapText="1"/>
    </xf>
    <xf numFmtId="0" fontId="11" fillId="11" borderId="13" xfId="0" applyFont="1" applyFill="1" applyBorder="1" applyAlignment="1">
      <alignment horizontal="left" vertical="center" wrapText="1"/>
    </xf>
    <xf numFmtId="0" fontId="11" fillId="11" borderId="14" xfId="0" applyFont="1" applyFill="1" applyBorder="1" applyAlignment="1">
      <alignment horizontal="left" vertical="center" wrapText="1"/>
    </xf>
    <xf numFmtId="0" fontId="9" fillId="3" borderId="0" xfId="0" applyFont="1" applyFill="1" applyAlignment="1">
      <alignment horizontal="center" vertical="center"/>
    </xf>
    <xf numFmtId="0" fontId="3" fillId="3" borderId="4" xfId="0" applyFont="1" applyFill="1" applyBorder="1" applyAlignment="1">
      <alignment horizontal="right" vertical="center"/>
    </xf>
    <xf numFmtId="0" fontId="0" fillId="0" borderId="0" xfId="0" applyAlignment="1"/>
    <xf numFmtId="0" fontId="0" fillId="0" borderId="2" xfId="0" applyBorder="1"/>
    <xf numFmtId="0" fontId="6" fillId="0" borderId="2" xfId="0" applyFont="1" applyBorder="1" applyAlignment="1">
      <alignment horizontal="left" vertical="center"/>
    </xf>
    <xf numFmtId="0" fontId="6" fillId="0" borderId="2" xfId="0" applyFont="1" applyBorder="1" applyAlignment="1">
      <alignment horizontal="center" vertical="center"/>
    </xf>
    <xf numFmtId="0" fontId="0" fillId="14" borderId="0" xfId="0" applyFill="1" applyBorder="1"/>
    <xf numFmtId="0" fontId="0" fillId="14" borderId="22" xfId="0" applyFill="1" applyBorder="1"/>
    <xf numFmtId="0" fontId="0" fillId="14" borderId="23" xfId="0" applyFill="1" applyBorder="1"/>
    <xf numFmtId="0" fontId="0" fillId="14" borderId="24" xfId="0" applyFill="1" applyBorder="1"/>
    <xf numFmtId="0" fontId="14" fillId="0" borderId="0" xfId="0" applyFont="1" applyAlignment="1">
      <alignment horizontal="center"/>
    </xf>
    <xf numFmtId="0" fontId="0" fillId="14" borderId="28" xfId="0" applyFill="1" applyBorder="1"/>
    <xf numFmtId="0" fontId="0" fillId="14" borderId="30" xfId="0" applyFill="1" applyBorder="1"/>
    <xf numFmtId="0" fontId="0" fillId="9" borderId="19" xfId="0" applyFill="1" applyBorder="1" applyAlignment="1">
      <alignment horizontal="center" vertical="center" wrapText="1"/>
    </xf>
    <xf numFmtId="164" fontId="0" fillId="9" borderId="2" xfId="0" applyNumberFormat="1" applyFill="1" applyBorder="1" applyAlignment="1">
      <alignment horizontal="center" vertical="center" wrapText="1"/>
    </xf>
    <xf numFmtId="165" fontId="0" fillId="9" borderId="15" xfId="0" applyNumberFormat="1" applyFill="1" applyBorder="1" applyAlignment="1">
      <alignment horizontal="center" vertical="center"/>
    </xf>
    <xf numFmtId="0" fontId="0" fillId="0" borderId="0" xfId="0" applyFont="1" applyAlignment="1">
      <alignment horizontal="center" vertical="center"/>
    </xf>
    <xf numFmtId="0" fontId="14" fillId="0" borderId="0" xfId="0" applyFont="1" applyAlignment="1">
      <alignment horizontal="center" vertical="center"/>
    </xf>
    <xf numFmtId="167" fontId="13" fillId="8" borderId="6" xfId="2" applyNumberFormat="1" applyAlignment="1">
      <alignment vertical="center"/>
    </xf>
    <xf numFmtId="0" fontId="6" fillId="0" borderId="0" xfId="0" applyFont="1" applyAlignment="1">
      <alignment vertical="top"/>
    </xf>
    <xf numFmtId="165" fontId="0" fillId="9" borderId="27" xfId="0" applyNumberFormat="1" applyFill="1" applyBorder="1" applyAlignment="1">
      <alignment vertical="center"/>
    </xf>
    <xf numFmtId="0" fontId="15" fillId="0" borderId="0" xfId="0" applyFont="1" applyAlignment="1">
      <alignment horizontal="center" vertical="center"/>
    </xf>
    <xf numFmtId="0" fontId="1" fillId="0" borderId="0" xfId="0" applyFont="1"/>
    <xf numFmtId="0" fontId="16" fillId="0" borderId="0" xfId="0" applyFont="1" applyAlignment="1">
      <alignment horizontal="left" vertical="top"/>
    </xf>
    <xf numFmtId="0" fontId="17" fillId="0" borderId="0" xfId="0" applyFont="1" applyAlignment="1">
      <alignment horizontal="left" vertical="top"/>
    </xf>
    <xf numFmtId="0" fontId="3" fillId="0" borderId="0" xfId="0" applyFont="1" applyAlignment="1">
      <alignment vertical="center"/>
    </xf>
    <xf numFmtId="0" fontId="18" fillId="0" borderId="0" xfId="0" applyFont="1" applyAlignment="1">
      <alignment vertical="center" shrinkToFit="1"/>
    </xf>
    <xf numFmtId="0" fontId="19" fillId="12" borderId="0" xfId="0" applyFont="1" applyFill="1" applyAlignment="1">
      <alignment vertical="center" shrinkToFit="1"/>
    </xf>
    <xf numFmtId="0" fontId="18" fillId="3" borderId="0" xfId="0" applyFont="1" applyFill="1" applyAlignment="1">
      <alignment vertical="center" shrinkToFit="1"/>
    </xf>
    <xf numFmtId="0" fontId="11" fillId="11" borderId="14" xfId="0" applyFont="1" applyFill="1" applyBorder="1" applyAlignment="1">
      <alignment horizontal="center" vertical="center" wrapText="1"/>
    </xf>
    <xf numFmtId="0" fontId="0" fillId="0" borderId="0" xfId="0" applyAlignment="1">
      <alignment vertical="center" wrapText="1"/>
    </xf>
    <xf numFmtId="168" fontId="0" fillId="0" borderId="0" xfId="4" applyNumberFormat="1" applyFont="1" applyAlignment="1">
      <alignment vertical="center" wrapText="1"/>
    </xf>
    <xf numFmtId="165" fontId="0" fillId="9" borderId="15" xfId="0" applyNumberFormat="1" applyFill="1" applyBorder="1" applyAlignment="1">
      <alignment horizontal="center" vertical="center" wrapText="1"/>
    </xf>
    <xf numFmtId="2" fontId="0" fillId="15" borderId="0" xfId="0" applyNumberFormat="1" applyFill="1"/>
    <xf numFmtId="0" fontId="0" fillId="15" borderId="0" xfId="0" applyFill="1"/>
    <xf numFmtId="3" fontId="0" fillId="15" borderId="0" xfId="0" applyNumberFormat="1" applyFill="1"/>
    <xf numFmtId="0" fontId="1" fillId="3" borderId="31" xfId="0" applyFont="1" applyFill="1" applyBorder="1" applyAlignment="1">
      <alignment horizontal="center" vertical="center"/>
    </xf>
    <xf numFmtId="0" fontId="21" fillId="0" borderId="0" xfId="0" applyFont="1"/>
    <xf numFmtId="0" fontId="10" fillId="7" borderId="6" xfId="1" applyNumberFormat="1" applyAlignment="1">
      <alignment horizontal="left" vertical="top" wrapText="1"/>
    </xf>
    <xf numFmtId="0" fontId="9" fillId="3" borderId="3" xfId="0" applyFont="1" applyFill="1" applyBorder="1" applyAlignment="1">
      <alignment horizontal="left" vertical="center"/>
    </xf>
    <xf numFmtId="0" fontId="10" fillId="7" borderId="32" xfId="1" applyBorder="1"/>
    <xf numFmtId="0" fontId="0" fillId="16" borderId="0" xfId="0" applyFill="1"/>
    <xf numFmtId="0" fontId="0" fillId="17" borderId="0" xfId="0" applyFill="1"/>
    <xf numFmtId="9" fontId="10" fillId="15" borderId="6" xfId="5" applyNumberFormat="1" applyFont="1" applyFill="1" applyBorder="1"/>
    <xf numFmtId="0" fontId="11" fillId="11" borderId="0" xfId="0" applyFont="1" applyFill="1" applyAlignment="1">
      <alignment horizontal="left" vertical="center" wrapText="1"/>
    </xf>
    <xf numFmtId="0" fontId="23" fillId="3" borderId="0" xfId="0" applyFont="1" applyFill="1"/>
    <xf numFmtId="0" fontId="24" fillId="3" borderId="0" xfId="0" applyFont="1" applyFill="1"/>
    <xf numFmtId="0" fontId="0" fillId="9" borderId="2" xfId="0" applyFill="1" applyBorder="1" applyAlignment="1">
      <alignment horizontal="center" vertical="center" wrapText="1"/>
    </xf>
    <xf numFmtId="0" fontId="0" fillId="9" borderId="20" xfId="0" applyFill="1" applyBorder="1" applyAlignment="1">
      <alignment horizontal="center" vertical="center" wrapText="1"/>
    </xf>
    <xf numFmtId="168" fontId="13" fillId="8" borderId="21" xfId="4" applyNumberFormat="1" applyFont="1" applyFill="1" applyBorder="1" applyAlignment="1">
      <alignment horizontal="center" vertical="center"/>
    </xf>
    <xf numFmtId="3" fontId="10" fillId="7" borderId="6" xfId="1" applyNumberFormat="1" applyBorder="1" applyAlignment="1">
      <alignment horizontal="center" vertical="center"/>
    </xf>
    <xf numFmtId="168" fontId="13" fillId="8" borderId="33" xfId="4" applyNumberFormat="1" applyFont="1" applyFill="1" applyBorder="1" applyAlignment="1">
      <alignment horizontal="center" vertical="center"/>
    </xf>
    <xf numFmtId="0" fontId="6" fillId="10" borderId="0" xfId="0" applyFont="1" applyFill="1" applyAlignment="1">
      <alignment horizontal="center" vertical="center" wrapText="1"/>
    </xf>
    <xf numFmtId="0" fontId="13" fillId="8" borderId="34" xfId="2" applyBorder="1"/>
    <xf numFmtId="0" fontId="0" fillId="0" borderId="26" xfId="0" applyBorder="1"/>
    <xf numFmtId="0" fontId="10" fillId="7" borderId="33" xfId="1" applyBorder="1"/>
    <xf numFmtId="0" fontId="0" fillId="0" borderId="30" xfId="0" applyBorder="1"/>
    <xf numFmtId="0" fontId="4" fillId="3" borderId="1" xfId="0" applyFont="1" applyFill="1" applyBorder="1" applyAlignment="1" applyProtection="1">
      <alignment vertical="center"/>
      <protection locked="0"/>
    </xf>
    <xf numFmtId="0" fontId="0" fillId="0" borderId="0" xfId="0" applyFill="1"/>
    <xf numFmtId="0" fontId="0" fillId="0" borderId="0" xfId="0" applyFill="1" applyAlignment="1">
      <alignment horizontal="left" vertical="center"/>
    </xf>
    <xf numFmtId="0" fontId="0" fillId="0" borderId="0" xfId="0" applyAlignment="1">
      <alignment horizontal="center"/>
    </xf>
    <xf numFmtId="166" fontId="0" fillId="0" borderId="0" xfId="4" applyFont="1"/>
    <xf numFmtId="0" fontId="28" fillId="0" borderId="0" xfId="0" applyFont="1" applyFill="1" applyBorder="1"/>
    <xf numFmtId="0" fontId="28"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28" fillId="0" borderId="0" xfId="0" applyFont="1" applyFill="1" applyBorder="1" applyAlignment="1">
      <alignment horizontal="right" vertical="center"/>
    </xf>
    <xf numFmtId="0" fontId="26" fillId="0" borderId="37" xfId="0" applyFont="1" applyFill="1" applyBorder="1" applyAlignment="1">
      <alignment horizontal="left" vertical="top" wrapText="1"/>
    </xf>
    <xf numFmtId="49" fontId="26" fillId="0" borderId="37" xfId="0" applyNumberFormat="1" applyFont="1" applyFill="1" applyBorder="1" applyAlignment="1">
      <alignment horizontal="left" vertical="center" wrapText="1"/>
    </xf>
    <xf numFmtId="166" fontId="26" fillId="0" borderId="37" xfId="4" applyFont="1" applyFill="1" applyBorder="1" applyAlignment="1">
      <alignment horizontal="left" vertical="center" wrapText="1"/>
    </xf>
    <xf numFmtId="169" fontId="26" fillId="0" borderId="37" xfId="0" applyNumberFormat="1" applyFont="1" applyFill="1" applyBorder="1" applyAlignment="1" applyProtection="1">
      <alignment horizontal="right" vertical="center" wrapText="1"/>
      <protection locked="0"/>
    </xf>
    <xf numFmtId="169" fontId="26" fillId="0" borderId="37" xfId="0" applyNumberFormat="1" applyFont="1" applyFill="1" applyBorder="1" applyAlignment="1">
      <alignment horizontal="right" vertical="center" wrapText="1"/>
    </xf>
    <xf numFmtId="169" fontId="26" fillId="0" borderId="37" xfId="0" applyNumberFormat="1" applyFont="1" applyFill="1" applyBorder="1" applyAlignment="1">
      <alignment horizontal="center" vertical="center" wrapText="1"/>
    </xf>
    <xf numFmtId="0" fontId="30" fillId="0" borderId="0" xfId="0" applyFont="1" applyFill="1" applyBorder="1"/>
    <xf numFmtId="0" fontId="31" fillId="0" borderId="37" xfId="0" applyFont="1" applyFill="1" applyBorder="1" applyAlignment="1">
      <alignment wrapText="1"/>
    </xf>
    <xf numFmtId="166" fontId="31" fillId="0" borderId="37" xfId="4" applyFont="1" applyFill="1" applyBorder="1" applyAlignment="1">
      <alignment wrapText="1"/>
    </xf>
    <xf numFmtId="0" fontId="32" fillId="0" borderId="0" xfId="0" applyFont="1" applyFill="1" applyBorder="1"/>
    <xf numFmtId="0" fontId="26" fillId="0" borderId="37" xfId="0" applyFont="1" applyFill="1" applyBorder="1" applyAlignment="1">
      <alignment horizontal="center" wrapText="1"/>
    </xf>
    <xf numFmtId="0" fontId="26" fillId="0" borderId="37" xfId="0" applyFont="1" applyFill="1" applyBorder="1" applyAlignment="1">
      <alignment wrapText="1"/>
    </xf>
    <xf numFmtId="166" fontId="26" fillId="0" borderId="37" xfId="4" applyFont="1" applyFill="1" applyBorder="1" applyAlignment="1">
      <alignment wrapText="1"/>
    </xf>
    <xf numFmtId="0" fontId="26" fillId="0" borderId="37" xfId="0" applyFont="1" applyFill="1" applyBorder="1" applyAlignment="1">
      <alignment horizontal="left" vertical="center" wrapText="1"/>
    </xf>
    <xf numFmtId="169" fontId="26" fillId="0" borderId="37" xfId="0" quotePrefix="1" applyNumberFormat="1" applyFont="1" applyFill="1" applyBorder="1" applyAlignment="1">
      <alignment horizontal="right" vertical="center" wrapText="1"/>
    </xf>
    <xf numFmtId="49" fontId="34" fillId="0" borderId="37" xfId="0" applyNumberFormat="1" applyFont="1" applyFill="1" applyBorder="1" applyAlignment="1">
      <alignment horizontal="left" vertical="center" wrapText="1"/>
    </xf>
    <xf numFmtId="166" fontId="34" fillId="0" borderId="37" xfId="4" applyFont="1" applyFill="1" applyBorder="1" applyAlignment="1">
      <alignment horizontal="left" vertical="center" wrapText="1"/>
    </xf>
    <xf numFmtId="0" fontId="35" fillId="0" borderId="0" xfId="0" applyFont="1" applyFill="1" applyBorder="1"/>
    <xf numFmtId="0" fontId="3" fillId="0" borderId="0" xfId="0" applyFont="1" applyFill="1" applyBorder="1"/>
    <xf numFmtId="0" fontId="28" fillId="0" borderId="37" xfId="0" applyFont="1" applyFill="1" applyBorder="1" applyAlignment="1">
      <alignment horizontal="center" vertical="top" wrapText="1"/>
    </xf>
    <xf numFmtId="0" fontId="28" fillId="0" borderId="37" xfId="0" applyFont="1" applyFill="1" applyBorder="1" applyAlignment="1">
      <alignment horizontal="center" vertical="center" wrapText="1"/>
    </xf>
    <xf numFmtId="169" fontId="36" fillId="0" borderId="37" xfId="0" applyNumberFormat="1" applyFont="1" applyFill="1" applyBorder="1" applyAlignment="1">
      <alignment horizontal="center" vertical="center" wrapText="1"/>
    </xf>
    <xf numFmtId="0" fontId="36" fillId="0" borderId="37" xfId="0" applyFont="1" applyFill="1" applyBorder="1" applyAlignment="1">
      <alignment horizontal="center" vertical="center" wrapText="1"/>
    </xf>
    <xf numFmtId="0" fontId="28" fillId="0" borderId="0" xfId="0" applyFont="1" applyFill="1" applyBorder="1" applyAlignment="1">
      <alignment horizontal="center" vertical="top" wrapText="1"/>
    </xf>
    <xf numFmtId="0" fontId="28" fillId="0" borderId="0" xfId="0" applyFont="1" applyFill="1" applyBorder="1" applyAlignment="1">
      <alignment horizontal="center" vertical="center" wrapText="1"/>
    </xf>
    <xf numFmtId="166" fontId="28" fillId="0" borderId="0" xfId="4" applyFont="1" applyFill="1" applyBorder="1" applyAlignment="1">
      <alignment horizontal="center" vertical="center" wrapText="1"/>
    </xf>
    <xf numFmtId="0" fontId="36" fillId="0" borderId="0" xfId="0" applyFont="1" applyFill="1" applyBorder="1" applyAlignment="1">
      <alignment horizontal="center" vertical="center" wrapText="1"/>
    </xf>
    <xf numFmtId="169" fontId="36" fillId="0" borderId="0" xfId="0" applyNumberFormat="1" applyFont="1" applyFill="1" applyBorder="1" applyAlignment="1">
      <alignment horizontal="center" vertical="center" wrapText="1"/>
    </xf>
    <xf numFmtId="169" fontId="22" fillId="0" borderId="0" xfId="0" applyNumberFormat="1" applyFont="1" applyFill="1" applyBorder="1"/>
    <xf numFmtId="0" fontId="28" fillId="0" borderId="0" xfId="0" applyFont="1" applyFill="1" applyBorder="1" applyAlignment="1">
      <alignment vertical="top"/>
    </xf>
    <xf numFmtId="0" fontId="22" fillId="0" borderId="0" xfId="0" applyFont="1" applyFill="1" applyBorder="1"/>
    <xf numFmtId="166" fontId="3" fillId="0" borderId="0" xfId="4" applyFont="1" applyFill="1" applyBorder="1"/>
    <xf numFmtId="0" fontId="32" fillId="0" borderId="37" xfId="0" applyFont="1" applyFill="1" applyBorder="1"/>
    <xf numFmtId="0" fontId="30" fillId="0" borderId="37" xfId="0" applyFont="1" applyFill="1" applyBorder="1"/>
    <xf numFmtId="166" fontId="27" fillId="19" borderId="37" xfId="4" applyFont="1" applyFill="1" applyBorder="1" applyAlignment="1">
      <alignment horizontal="center" vertical="center" wrapText="1"/>
    </xf>
    <xf numFmtId="0" fontId="27" fillId="19" borderId="37" xfId="0" applyFont="1" applyFill="1" applyBorder="1" applyAlignment="1">
      <alignment horizontal="center" vertical="center" wrapText="1"/>
    </xf>
    <xf numFmtId="166" fontId="36" fillId="0" borderId="37" xfId="4" applyFont="1" applyFill="1" applyBorder="1" applyAlignment="1">
      <alignment horizontal="center" vertical="center" wrapText="1"/>
    </xf>
    <xf numFmtId="49" fontId="26" fillId="18" borderId="37" xfId="0" applyNumberFormat="1" applyFont="1" applyFill="1" applyBorder="1" applyAlignment="1">
      <alignment horizontal="left" vertical="center" wrapText="1"/>
    </xf>
    <xf numFmtId="0" fontId="31" fillId="18" borderId="37" xfId="0" applyFont="1" applyFill="1" applyBorder="1" applyAlignment="1">
      <alignment wrapText="1"/>
    </xf>
    <xf numFmtId="0" fontId="26" fillId="18" borderId="37" xfId="0" applyFont="1" applyFill="1" applyBorder="1" applyAlignment="1">
      <alignment wrapText="1"/>
    </xf>
    <xf numFmtId="0" fontId="26" fillId="18" borderId="37" xfId="0" applyFont="1" applyFill="1" applyBorder="1" applyAlignment="1">
      <alignment horizontal="left" vertical="center" wrapText="1"/>
    </xf>
    <xf numFmtId="49" fontId="34" fillId="18" borderId="37" xfId="0" applyNumberFormat="1" applyFont="1" applyFill="1" applyBorder="1" applyAlignment="1">
      <alignment horizontal="left" vertical="center" wrapText="1"/>
    </xf>
    <xf numFmtId="44" fontId="0" fillId="0" borderId="0" xfId="6" applyFont="1"/>
    <xf numFmtId="170" fontId="0" fillId="0" borderId="0" xfId="4" applyNumberFormat="1" applyFont="1" applyAlignment="1">
      <alignment horizontal="center"/>
    </xf>
    <xf numFmtId="0" fontId="0" fillId="0" borderId="0" xfId="0" applyNumberFormat="1"/>
    <xf numFmtId="170" fontId="0" fillId="0" borderId="0" xfId="0" applyNumberFormat="1" applyAlignment="1">
      <alignment horizontal="center"/>
    </xf>
    <xf numFmtId="170" fontId="0" fillId="0" borderId="0" xfId="0" pivotButton="1" applyNumberFormat="1" applyAlignment="1">
      <alignment horizontal="center"/>
    </xf>
    <xf numFmtId="166" fontId="36" fillId="0" borderId="0" xfId="4" applyFont="1" applyFill="1" applyBorder="1" applyAlignment="1">
      <alignment horizontal="center" vertical="center" wrapText="1"/>
    </xf>
    <xf numFmtId="166" fontId="26" fillId="20" borderId="37" xfId="4" applyFont="1" applyFill="1" applyBorder="1" applyAlignment="1">
      <alignment horizontal="left" vertical="center" wrapText="1"/>
    </xf>
    <xf numFmtId="0" fontId="26" fillId="21" borderId="37" xfId="0" applyFont="1" applyFill="1" applyBorder="1" applyAlignment="1">
      <alignment horizontal="left" vertical="top" wrapText="1"/>
    </xf>
    <xf numFmtId="49" fontId="26" fillId="21" borderId="37" xfId="0" applyNumberFormat="1" applyFont="1" applyFill="1" applyBorder="1" applyAlignment="1">
      <alignment horizontal="left" vertical="center" wrapText="1"/>
    </xf>
    <xf numFmtId="169" fontId="26" fillId="20" borderId="37" xfId="0" applyNumberFormat="1" applyFont="1" applyFill="1" applyBorder="1" applyAlignment="1">
      <alignment horizontal="right" vertical="center" wrapText="1"/>
    </xf>
    <xf numFmtId="0" fontId="35" fillId="0" borderId="37" xfId="0" applyFont="1" applyFill="1" applyBorder="1"/>
    <xf numFmtId="169" fontId="26" fillId="0" borderId="0" xfId="0" applyNumberFormat="1" applyFont="1" applyFill="1" applyBorder="1" applyAlignment="1">
      <alignment horizontal="right" vertical="center" wrapText="1"/>
    </xf>
    <xf numFmtId="0" fontId="26" fillId="0" borderId="0" xfId="0" applyFont="1" applyFill="1" applyBorder="1" applyAlignment="1">
      <alignment horizontal="left" vertical="top" wrapText="1"/>
    </xf>
    <xf numFmtId="0" fontId="36" fillId="0" borderId="0" xfId="0" applyFont="1" applyFill="1" applyBorder="1" applyAlignment="1">
      <alignment horizontal="center" vertical="top" wrapText="1"/>
    </xf>
    <xf numFmtId="171" fontId="22" fillId="0" borderId="0" xfId="0" applyNumberFormat="1" applyFont="1" applyFill="1" applyBorder="1"/>
    <xf numFmtId="0" fontId="27" fillId="19" borderId="37" xfId="4" applyNumberFormat="1" applyFont="1" applyFill="1" applyBorder="1" applyAlignment="1">
      <alignment horizontal="center" vertical="center" wrapText="1"/>
    </xf>
    <xf numFmtId="166" fontId="27" fillId="20" borderId="37" xfId="4" applyFont="1" applyFill="1" applyBorder="1" applyAlignment="1">
      <alignment horizontal="center" vertical="center" wrapText="1"/>
    </xf>
    <xf numFmtId="0" fontId="0" fillId="0" borderId="0" xfId="0" pivotButton="1" applyAlignment="1">
      <alignment wrapText="1"/>
    </xf>
    <xf numFmtId="170" fontId="0" fillId="0" borderId="0" xfId="0" applyNumberFormat="1" applyAlignment="1">
      <alignment horizontal="center" wrapText="1"/>
    </xf>
    <xf numFmtId="166" fontId="0" fillId="0" borderId="0" xfId="4" applyFont="1" applyAlignment="1">
      <alignment wrapText="1"/>
    </xf>
    <xf numFmtId="0" fontId="0" fillId="0" borderId="0" xfId="0" applyAlignment="1">
      <alignment wrapText="1"/>
    </xf>
    <xf numFmtId="169" fontId="31" fillId="0" borderId="37" xfId="0" applyNumberFormat="1" applyFont="1" applyFill="1" applyBorder="1" applyAlignment="1">
      <alignment horizontal="right" vertical="center" wrapText="1"/>
    </xf>
    <xf numFmtId="0" fontId="0" fillId="4" borderId="0" xfId="0" applyFill="1" applyAlignment="1">
      <alignment horizontal="center"/>
    </xf>
    <xf numFmtId="0" fontId="22" fillId="0" borderId="0" xfId="0" applyFont="1" applyAlignment="1">
      <alignment horizontal="center" vertical="center" wrapText="1"/>
    </xf>
    <xf numFmtId="0" fontId="0" fillId="0" borderId="0" xfId="0" applyAlignment="1">
      <alignment horizontal="center"/>
    </xf>
    <xf numFmtId="0" fontId="25" fillId="0" borderId="0" xfId="0" applyFont="1" applyAlignment="1">
      <alignment horizontal="center" wrapText="1"/>
    </xf>
    <xf numFmtId="0" fontId="0" fillId="0" borderId="1" xfId="0" applyFill="1" applyBorder="1" applyAlignment="1">
      <alignment horizontal="left" vertical="center"/>
    </xf>
    <xf numFmtId="0" fontId="0" fillId="0" borderId="2" xfId="0" applyFill="1" applyBorder="1" applyAlignment="1">
      <alignment horizontal="left" vertical="center"/>
    </xf>
    <xf numFmtId="0" fontId="0" fillId="3" borderId="1" xfId="0" applyFill="1" applyBorder="1" applyAlignment="1">
      <alignment horizontal="left" vertical="center"/>
    </xf>
    <xf numFmtId="0" fontId="0" fillId="3" borderId="2" xfId="0" applyFill="1" applyBorder="1" applyAlignment="1">
      <alignment horizontal="left" vertical="center"/>
    </xf>
    <xf numFmtId="0" fontId="0" fillId="5" borderId="0" xfId="0" applyFill="1" applyAlignment="1">
      <alignment horizont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11" fillId="12" borderId="29" xfId="3" applyFont="1" applyFill="1" applyBorder="1" applyAlignment="1">
      <alignment horizontal="center"/>
    </xf>
    <xf numFmtId="0" fontId="11" fillId="12" borderId="25" xfId="3" applyFont="1" applyFill="1" applyBorder="1" applyAlignment="1">
      <alignment horizontal="center"/>
    </xf>
    <xf numFmtId="0" fontId="11" fillId="12" borderId="26" xfId="3" applyFont="1" applyFill="1" applyBorder="1" applyAlignment="1">
      <alignment horizontal="center"/>
    </xf>
    <xf numFmtId="0" fontId="8" fillId="9" borderId="16" xfId="0" applyFont="1" applyFill="1" applyBorder="1" applyAlignment="1">
      <alignment horizontal="center"/>
    </xf>
    <xf numFmtId="0" fontId="8" fillId="9" borderId="17" xfId="0" applyFont="1" applyFill="1" applyBorder="1" applyAlignment="1">
      <alignment horizontal="center"/>
    </xf>
    <xf numFmtId="0" fontId="8" fillId="9" borderId="18" xfId="0" applyFont="1" applyFill="1" applyBorder="1" applyAlignment="1">
      <alignment horizontal="center"/>
    </xf>
    <xf numFmtId="0" fontId="6" fillId="9" borderId="16" xfId="0" applyFont="1" applyFill="1" applyBorder="1" applyAlignment="1">
      <alignment horizontal="center"/>
    </xf>
    <xf numFmtId="0" fontId="6" fillId="9" borderId="17" xfId="0" applyFont="1" applyFill="1" applyBorder="1" applyAlignment="1">
      <alignment horizontal="center"/>
    </xf>
    <xf numFmtId="0" fontId="6" fillId="9" borderId="18" xfId="0" applyFont="1" applyFill="1" applyBorder="1" applyAlignment="1">
      <alignment horizontal="center"/>
    </xf>
    <xf numFmtId="0" fontId="7" fillId="18" borderId="35" xfId="0" applyFont="1" applyFill="1" applyBorder="1" applyAlignment="1">
      <alignment horizontal="center"/>
    </xf>
    <xf numFmtId="0" fontId="7" fillId="18" borderId="36" xfId="0" applyFont="1" applyFill="1" applyBorder="1" applyAlignment="1">
      <alignment horizontal="center"/>
    </xf>
    <xf numFmtId="0" fontId="8" fillId="0" borderId="0" xfId="0" applyFont="1" applyAlignment="1">
      <alignment horizontal="center" vertical="center"/>
    </xf>
    <xf numFmtId="0" fontId="8" fillId="0" borderId="5" xfId="0" applyFont="1" applyBorder="1" applyAlignment="1">
      <alignment horizontal="center" vertical="center"/>
    </xf>
  </cellXfs>
  <cellStyles count="7">
    <cellStyle name="20% - Accent6" xfId="3" builtinId="50"/>
    <cellStyle name="Calculation" xfId="2" builtinId="22"/>
    <cellStyle name="Comma" xfId="4" builtinId="3"/>
    <cellStyle name="Currency" xfId="6" builtinId="4"/>
    <cellStyle name="Input" xfId="1" builtinId="20"/>
    <cellStyle name="Normal" xfId="0" builtinId="0"/>
    <cellStyle name="Percent" xfId="5" builtinId="5"/>
  </cellStyles>
  <dxfs count="26">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0.34998626667073579"/>
        </patternFill>
      </fill>
    </dxf>
    <dxf>
      <alignment wrapText="1"/>
    </dxf>
    <dxf>
      <alignment wrapText="1"/>
    </dxf>
    <dxf>
      <alignment wrapText="1"/>
    </dxf>
    <dxf>
      <alignment wrapText="1"/>
    </dxf>
    <dxf>
      <alignment horizontal="center"/>
    </dxf>
    <dxf>
      <alignment horizontal="center"/>
    </dxf>
    <dxf>
      <alignment horizontal="center"/>
    </dxf>
    <dxf>
      <alignment horizontal="center"/>
    </dxf>
    <dxf>
      <numFmt numFmtId="170" formatCode="_-* #,##0.0_-;\-* #,##0.0_-;_-* &quot;-&quot;??_-;_-@_-"/>
    </dxf>
    <dxf>
      <numFmt numFmtId="170" formatCode="_-* #,##0.0_-;\-* #,##0.0_-;_-* &quot;-&quot;??_-;_-@_-"/>
    </dxf>
    <dxf>
      <numFmt numFmtId="170" formatCode="_-* #,##0.0_-;\-* #,##0.0_-;_-* &quot;-&quot;??_-;_-@_-"/>
    </dxf>
    <dxf>
      <numFmt numFmtId="170" formatCode="_-* #,##0.0_-;\-* #,##0.0_-;_-* &quot;-&quot;??_-;_-@_-"/>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3" tint="-0.499984740745262"/>
        </patternFill>
      </fill>
      <alignment horizontal="left" vertical="center" textRotation="0" wrapText="1" indent="0" justifyLastLine="0" shrinkToFit="0" readingOrder="0"/>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460375</xdr:colOff>
      <xdr:row>12</xdr:row>
      <xdr:rowOff>185734</xdr:rowOff>
    </xdr:from>
    <xdr:to>
      <xdr:col>3</xdr:col>
      <xdr:colOff>688975</xdr:colOff>
      <xdr:row>15</xdr:row>
      <xdr:rowOff>7934</xdr:rowOff>
    </xdr:to>
    <xdr:sp macro="" textlink="">
      <xdr:nvSpPr>
        <xdr:cNvPr id="7" name="TextBox 6">
          <a:extLst>
            <a:ext uri="{FF2B5EF4-FFF2-40B4-BE49-F238E27FC236}">
              <a16:creationId xmlns:a16="http://schemas.microsoft.com/office/drawing/2014/main" id="{886A914A-2467-43B9-99BD-27DFDFEE02D1}"/>
            </a:ext>
          </a:extLst>
        </xdr:cNvPr>
        <xdr:cNvSpPr txBox="1"/>
      </xdr:nvSpPr>
      <xdr:spPr>
        <a:xfrm>
          <a:off x="2155825" y="3748084"/>
          <a:ext cx="1343025"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400" b="1"/>
            <a:t>Ventilation</a:t>
          </a:r>
        </a:p>
      </xdr:txBody>
    </xdr:sp>
    <xdr:clientData/>
  </xdr:twoCellAnchor>
  <xdr:twoCellAnchor>
    <xdr:from>
      <xdr:col>5</xdr:col>
      <xdr:colOff>506413</xdr:colOff>
      <xdr:row>12</xdr:row>
      <xdr:rowOff>176209</xdr:rowOff>
    </xdr:from>
    <xdr:to>
      <xdr:col>6</xdr:col>
      <xdr:colOff>735013</xdr:colOff>
      <xdr:row>14</xdr:row>
      <xdr:rowOff>188909</xdr:rowOff>
    </xdr:to>
    <xdr:sp macro="" textlink="">
      <xdr:nvSpPr>
        <xdr:cNvPr id="10" name="TextBox 9">
          <a:extLst>
            <a:ext uri="{FF2B5EF4-FFF2-40B4-BE49-F238E27FC236}">
              <a16:creationId xmlns:a16="http://schemas.microsoft.com/office/drawing/2014/main" id="{D09E55CF-868D-493C-BD6A-12D041422ABF}"/>
            </a:ext>
          </a:extLst>
        </xdr:cNvPr>
        <xdr:cNvSpPr txBox="1"/>
      </xdr:nvSpPr>
      <xdr:spPr>
        <a:xfrm>
          <a:off x="5545138" y="3738559"/>
          <a:ext cx="1343025"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400" b="1"/>
            <a:t>Filtration</a:t>
          </a:r>
        </a:p>
      </xdr:txBody>
    </xdr:sp>
    <xdr:clientData/>
  </xdr:twoCellAnchor>
  <xdr:twoCellAnchor>
    <xdr:from>
      <xdr:col>2</xdr:col>
      <xdr:colOff>664618</xdr:colOff>
      <xdr:row>1</xdr:row>
      <xdr:rowOff>55564</xdr:rowOff>
    </xdr:from>
    <xdr:to>
      <xdr:col>6</xdr:col>
      <xdr:colOff>690560</xdr:colOff>
      <xdr:row>1</xdr:row>
      <xdr:rowOff>726281</xdr:rowOff>
    </xdr:to>
    <xdr:grpSp>
      <xdr:nvGrpSpPr>
        <xdr:cNvPr id="17" name="Group 16">
          <a:extLst>
            <a:ext uri="{FF2B5EF4-FFF2-40B4-BE49-F238E27FC236}">
              <a16:creationId xmlns:a16="http://schemas.microsoft.com/office/drawing/2014/main" id="{C3362751-C880-4DBF-B446-DB3ED3EC9C5C}"/>
            </a:ext>
            <a:ext uri="{C183D7F6-B498-43B3-948B-1728B52AA6E4}">
              <adec:decorative xmlns:adec="http://schemas.microsoft.com/office/drawing/2017/decorative" val="1"/>
            </a:ext>
          </a:extLst>
        </xdr:cNvPr>
        <xdr:cNvGrpSpPr/>
      </xdr:nvGrpSpPr>
      <xdr:grpSpPr>
        <a:xfrm>
          <a:off x="2502943" y="255589"/>
          <a:ext cx="4845592" cy="670717"/>
          <a:chOff x="2336185" y="239714"/>
          <a:chExt cx="4273551" cy="658324"/>
        </a:xfrm>
      </xdr:grpSpPr>
      <xdr:sp macro="" textlink="">
        <xdr:nvSpPr>
          <xdr:cNvPr id="18" name="TextBox 17">
            <a:extLst>
              <a:ext uri="{FF2B5EF4-FFF2-40B4-BE49-F238E27FC236}">
                <a16:creationId xmlns:a16="http://schemas.microsoft.com/office/drawing/2014/main" id="{35099957-76E7-4730-AC62-3EDE31F6C738}"/>
              </a:ext>
            </a:extLst>
          </xdr:cNvPr>
          <xdr:cNvSpPr txBox="1"/>
        </xdr:nvSpPr>
        <xdr:spPr>
          <a:xfrm>
            <a:off x="2336185" y="605882"/>
            <a:ext cx="4273551" cy="292156"/>
          </a:xfrm>
          <a:prstGeom prst="rect">
            <a:avLst/>
          </a:prstGeom>
          <a:solidFill>
            <a:schemeClr val="tx2">
              <a:lumMod val="60000"/>
              <a:lumOff val="4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cap="all">
                <a:solidFill>
                  <a:schemeClr val="bg1"/>
                </a:solidFill>
                <a:latin typeface="+mn-lt"/>
              </a:rPr>
              <a:t>School</a:t>
            </a:r>
            <a:r>
              <a:rPr lang="en-CA" sz="1800" b="1" cap="all" baseline="0">
                <a:solidFill>
                  <a:schemeClr val="bg1"/>
                </a:solidFill>
                <a:latin typeface="+mn-lt"/>
              </a:rPr>
              <a:t> Board Ventilation Profile</a:t>
            </a:r>
            <a:endParaRPr lang="en-CA" sz="1800" b="1" cap="all">
              <a:solidFill>
                <a:srgbClr val="FF0000"/>
              </a:solidFill>
              <a:latin typeface="+mn-lt"/>
            </a:endParaRPr>
          </a:p>
        </xdr:txBody>
      </xdr:sp>
      <xdr:sp macro="" textlink="'4. Board Level Worksheet'!$C$5">
        <xdr:nvSpPr>
          <xdr:cNvPr id="19" name="TextBox 18">
            <a:extLst>
              <a:ext uri="{FF2B5EF4-FFF2-40B4-BE49-F238E27FC236}">
                <a16:creationId xmlns:a16="http://schemas.microsoft.com/office/drawing/2014/main" id="{CECA79BC-3E0D-4278-8FF4-9F00FA5EE97F}"/>
              </a:ext>
            </a:extLst>
          </xdr:cNvPr>
          <xdr:cNvSpPr txBox="1"/>
        </xdr:nvSpPr>
        <xdr:spPr>
          <a:xfrm>
            <a:off x="2699820" y="239714"/>
            <a:ext cx="3570908" cy="419100"/>
          </a:xfrm>
          <a:prstGeom prst="rect">
            <a:avLst/>
          </a:prstGeom>
          <a:solidFill>
            <a:schemeClr val="tx2">
              <a:lumMod val="60000"/>
              <a:lumOff val="4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EA6465F3-455C-42D7-9642-DFF01C0F3E93}" type="TxLink">
              <a:rPr lang="en-US" sz="1800" b="1" i="0" u="none" strike="noStrike" cap="all">
                <a:solidFill>
                  <a:schemeClr val="bg1"/>
                </a:solidFill>
                <a:latin typeface="+mn-lt"/>
                <a:ea typeface="+mn-ea"/>
                <a:cs typeface="Calibri"/>
              </a:rPr>
              <a:pPr marL="0" indent="0" algn="ctr"/>
              <a:t>Catholic DSB of Eastern Ontario</a:t>
            </a:fld>
            <a:endParaRPr lang="en-CA" sz="1800" b="1" cap="all">
              <a:solidFill>
                <a:schemeClr val="bg1"/>
              </a:solidFill>
              <a:latin typeface="+mn-lt"/>
              <a:ea typeface="+mn-ea"/>
              <a:cs typeface="+mn-cs"/>
            </a:endParaRPr>
          </a:p>
        </xdr:txBody>
      </xdr:sp>
    </xdr:grpSp>
    <xdr:clientData/>
  </xdr:twoCellAnchor>
  <xdr:twoCellAnchor editAs="oneCell">
    <xdr:from>
      <xdr:col>1</xdr:col>
      <xdr:colOff>48419</xdr:colOff>
      <xdr:row>1</xdr:row>
      <xdr:rowOff>30162</xdr:rowOff>
    </xdr:from>
    <xdr:to>
      <xdr:col>1</xdr:col>
      <xdr:colOff>744538</xdr:colOff>
      <xdr:row>1</xdr:row>
      <xdr:rowOff>726281</xdr:rowOff>
    </xdr:to>
    <xdr:pic>
      <xdr:nvPicPr>
        <xdr:cNvPr id="24" name="Graphic 23" descr="Checklist">
          <a:extLst>
            <a:ext uri="{FF2B5EF4-FFF2-40B4-BE49-F238E27FC236}">
              <a16:creationId xmlns:a16="http://schemas.microsoft.com/office/drawing/2014/main" id="{EA6F82F3-5A82-4327-AFA4-0CA15275FEF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 r="-2752"/>
        <a:stretch/>
      </xdr:blipFill>
      <xdr:spPr>
        <a:xfrm>
          <a:off x="631825" y="220662"/>
          <a:ext cx="696119" cy="696119"/>
        </a:xfrm>
        <a:prstGeom prst="rect">
          <a:avLst/>
        </a:prstGeom>
      </xdr:spPr>
    </xdr:pic>
    <xdr:clientData/>
  </xdr:twoCellAnchor>
  <xdr:twoCellAnchor>
    <xdr:from>
      <xdr:col>0</xdr:col>
      <xdr:colOff>552450</xdr:colOff>
      <xdr:row>6</xdr:row>
      <xdr:rowOff>152399</xdr:rowOff>
    </xdr:from>
    <xdr:to>
      <xdr:col>8</xdr:col>
      <xdr:colOff>57150</xdr:colOff>
      <xdr:row>35</xdr:row>
      <xdr:rowOff>180974</xdr:rowOff>
    </xdr:to>
    <xdr:grpSp>
      <xdr:nvGrpSpPr>
        <xdr:cNvPr id="4" name="Group 3">
          <a:extLst>
            <a:ext uri="{FF2B5EF4-FFF2-40B4-BE49-F238E27FC236}">
              <a16:creationId xmlns:a16="http://schemas.microsoft.com/office/drawing/2014/main" id="{A5253C3C-2DC1-4FE8-81E6-FAA48CDFBAE5}"/>
            </a:ext>
          </a:extLst>
        </xdr:cNvPr>
        <xdr:cNvGrpSpPr/>
      </xdr:nvGrpSpPr>
      <xdr:grpSpPr>
        <a:xfrm>
          <a:off x="552450" y="2386012"/>
          <a:ext cx="8572500" cy="5676900"/>
          <a:chOff x="552450" y="2381249"/>
          <a:chExt cx="7962900" cy="5943600"/>
        </a:xfrm>
      </xdr:grpSpPr>
      <xdr:sp macro="" textlink="">
        <xdr:nvSpPr>
          <xdr:cNvPr id="15" name="TextBox 14">
            <a:extLst>
              <a:ext uri="{FF2B5EF4-FFF2-40B4-BE49-F238E27FC236}">
                <a16:creationId xmlns:a16="http://schemas.microsoft.com/office/drawing/2014/main" id="{D139C2A8-6180-4ABA-B942-52FE9C15BD97}"/>
              </a:ext>
              <a:ext uri="{C183D7F6-B498-43B3-948B-1728B52AA6E4}">
                <adec:decorative xmlns:adec="http://schemas.microsoft.com/office/drawing/2017/decorative" val="1"/>
              </a:ext>
            </a:extLst>
          </xdr:cNvPr>
          <xdr:cNvSpPr txBox="1"/>
        </xdr:nvSpPr>
        <xdr:spPr>
          <a:xfrm>
            <a:off x="552450" y="2381249"/>
            <a:ext cx="7962900" cy="5943600"/>
          </a:xfrm>
          <a:prstGeom prst="rect">
            <a:avLst/>
          </a:prstGeom>
          <a:solidFill>
            <a:schemeClr val="lt1"/>
          </a:solidFill>
          <a:ln w="22225" cap="flat" cmpd="sng" algn="ctr">
            <a:solidFill>
              <a:schemeClr val="accent3"/>
            </a:solidFill>
            <a:prstDash val="solid"/>
            <a:round/>
            <a:headEnd type="none" w="med" len="med"/>
            <a:tailEnd type="none" w="med" len="med"/>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accent3"/>
          </a:fontRef>
        </xdr:style>
        <xdr:txBody>
          <a:bodyPr vertOverflow="clip" horzOverflow="clip" wrap="square" rtlCol="0" anchor="t"/>
          <a:lstStyle/>
          <a:p>
            <a:endParaRPr lang="en-CA" sz="1100"/>
          </a:p>
        </xdr:txBody>
      </xdr:sp>
      <xdr:sp macro="" textlink="">
        <xdr:nvSpPr>
          <xdr:cNvPr id="3" name="Rectangle 2">
            <a:extLst>
              <a:ext uri="{FF2B5EF4-FFF2-40B4-BE49-F238E27FC236}">
                <a16:creationId xmlns:a16="http://schemas.microsoft.com/office/drawing/2014/main" id="{4C728A5B-617A-4541-A16F-4DD6EEDDA380}"/>
              </a:ext>
            </a:extLst>
          </xdr:cNvPr>
          <xdr:cNvSpPr/>
        </xdr:nvSpPr>
        <xdr:spPr>
          <a:xfrm>
            <a:off x="1253334" y="2452692"/>
            <a:ext cx="6633210" cy="450215"/>
          </a:xfrm>
          <a:prstGeom prst="rect">
            <a:avLst/>
          </a:prstGeom>
          <a:solidFill>
            <a:schemeClr val="accent1">
              <a:lumMod val="50000"/>
            </a:schemeClr>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effectLst/>
                <a:ea typeface="Calibri" panose="020F0502020204030204" pitchFamily="34" charset="0"/>
                <a:cs typeface="Times New Roman" panose="02020603050405020304" pitchFamily="18" charset="0"/>
              </a:rPr>
              <a:t>Measures to help reduce transmission risk in indoor settings</a:t>
            </a:r>
            <a:endParaRPr lang="en-CA" sz="1100">
              <a:effectLst/>
              <a:ea typeface="Calibri" panose="020F0502020204030204" pitchFamily="34" charset="0"/>
              <a:cs typeface="Times New Roman" panose="02020603050405020304" pitchFamily="18" charset="0"/>
            </a:endParaRPr>
          </a:p>
        </xdr:txBody>
      </xdr:sp>
      <xdr:cxnSp macro="">
        <xdr:nvCxnSpPr>
          <xdr:cNvPr id="5" name="Straight Connector 4">
            <a:extLst>
              <a:ext uri="{FF2B5EF4-FFF2-40B4-BE49-F238E27FC236}">
                <a16:creationId xmlns:a16="http://schemas.microsoft.com/office/drawing/2014/main" id="{21E6DD6D-951F-4C53-9D4F-32E53CB42F7C}"/>
              </a:ext>
              <a:ext uri="{C183D7F6-B498-43B3-948B-1728B52AA6E4}">
                <adec:decorative xmlns:adec="http://schemas.microsoft.com/office/drawing/2017/decorative" val="1"/>
              </a:ext>
            </a:extLst>
          </xdr:cNvPr>
          <xdr:cNvCxnSpPr/>
        </xdr:nvCxnSpPr>
        <xdr:spPr>
          <a:xfrm>
            <a:off x="4562872" y="3001745"/>
            <a:ext cx="6746" cy="2129848"/>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pic>
        <xdr:nvPicPr>
          <xdr:cNvPr id="6" name="Picture 5">
            <a:extLst>
              <a:ext uri="{FF2B5EF4-FFF2-40B4-BE49-F238E27FC236}">
                <a16:creationId xmlns:a16="http://schemas.microsoft.com/office/drawing/2014/main" id="{0D292A51-7F46-43B3-B01E-18D6612CDA0E}"/>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3"/>
          <a:srcRect l="5334" t="11002" r="3988" b="13322"/>
          <a:stretch/>
        </xdr:blipFill>
        <xdr:spPr>
          <a:xfrm>
            <a:off x="2418557" y="3218657"/>
            <a:ext cx="838966" cy="762000"/>
          </a:xfrm>
          <a:prstGeom prst="rect">
            <a:avLst/>
          </a:prstGeom>
        </xdr:spPr>
      </xdr:pic>
      <xdr:sp macro="" textlink="">
        <xdr:nvSpPr>
          <xdr:cNvPr id="8" name="TextBox 7">
            <a:extLst>
              <a:ext uri="{FF2B5EF4-FFF2-40B4-BE49-F238E27FC236}">
                <a16:creationId xmlns:a16="http://schemas.microsoft.com/office/drawing/2014/main" id="{F296007B-E067-4A66-9386-95BA03CADA2C}"/>
              </a:ext>
            </a:extLst>
          </xdr:cNvPr>
          <xdr:cNvSpPr txBox="1"/>
        </xdr:nvSpPr>
        <xdr:spPr>
          <a:xfrm>
            <a:off x="920750" y="4455318"/>
            <a:ext cx="3416300" cy="676800"/>
          </a:xfrm>
          <a:prstGeom prst="rect">
            <a:avLst/>
          </a:prstGeom>
          <a:solidFill>
            <a:schemeClr val="accent1">
              <a:lumMod val="20000"/>
              <a:lumOff val="80000"/>
            </a:schemeClr>
          </a:solidFill>
          <a:ln w="9525" cmpd="sng">
            <a:solidFill>
              <a:schemeClr val="accent1">
                <a:lumMod val="20000"/>
                <a:lumOff val="80000"/>
              </a:schemeClr>
            </a:solidFill>
          </a:ln>
          <a:effectLst>
            <a:softEdge rad="3175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a:solidFill>
                  <a:schemeClr val="tx2"/>
                </a:solidFill>
              </a:rPr>
              <a:t>Ventilation:</a:t>
            </a:r>
            <a:r>
              <a:rPr lang="en-US" sz="1200" baseline="0">
                <a:solidFill>
                  <a:schemeClr val="tx2"/>
                </a:solidFill>
              </a:rPr>
              <a:t> </a:t>
            </a:r>
            <a:r>
              <a:rPr lang="en-US" sz="1200">
                <a:solidFill>
                  <a:schemeClr val="tx2"/>
                </a:solidFill>
              </a:rPr>
              <a:t>Increasing the flow of outdoor/fresh air for diluting the concentration of any infectious particles.</a:t>
            </a:r>
          </a:p>
        </xdr:txBody>
      </xdr:sp>
      <xdr:pic>
        <xdr:nvPicPr>
          <xdr:cNvPr id="9" name="Picture 8">
            <a:extLst>
              <a:ext uri="{FF2B5EF4-FFF2-40B4-BE49-F238E27FC236}">
                <a16:creationId xmlns:a16="http://schemas.microsoft.com/office/drawing/2014/main" id="{0595DB82-6084-4D69-8626-5FCD74410A2A}"/>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4"/>
          <a:srcRect l="24584" t="11707" r="13211" b="9911"/>
          <a:stretch/>
        </xdr:blipFill>
        <xdr:spPr>
          <a:xfrm>
            <a:off x="5867401" y="3247231"/>
            <a:ext cx="761999" cy="773433"/>
          </a:xfrm>
          <a:prstGeom prst="rect">
            <a:avLst/>
          </a:prstGeom>
        </xdr:spPr>
      </xdr:pic>
      <xdr:sp macro="" textlink="">
        <xdr:nvSpPr>
          <xdr:cNvPr id="11" name="TextBox 10">
            <a:extLst>
              <a:ext uri="{FF2B5EF4-FFF2-40B4-BE49-F238E27FC236}">
                <a16:creationId xmlns:a16="http://schemas.microsoft.com/office/drawing/2014/main" id="{F462A389-A2C4-4E6C-A0DE-F3E5D63EFDE0}"/>
              </a:ext>
            </a:extLst>
          </xdr:cNvPr>
          <xdr:cNvSpPr txBox="1"/>
        </xdr:nvSpPr>
        <xdr:spPr>
          <a:xfrm>
            <a:off x="4758531" y="4467224"/>
            <a:ext cx="3416300" cy="676275"/>
          </a:xfrm>
          <a:prstGeom prst="rect">
            <a:avLst/>
          </a:prstGeom>
          <a:solidFill>
            <a:schemeClr val="accent1">
              <a:lumMod val="20000"/>
              <a:lumOff val="80000"/>
            </a:schemeClr>
          </a:solidFill>
          <a:ln w="9525" cmpd="sng">
            <a:solidFill>
              <a:schemeClr val="accent1">
                <a:lumMod val="20000"/>
                <a:lumOff val="80000"/>
              </a:schemeClr>
            </a:solidFill>
          </a:ln>
          <a:effectLst>
            <a:softEdge rad="3175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a:solidFill>
                  <a:schemeClr val="tx2"/>
                </a:solidFill>
                <a:effectLst/>
                <a:ea typeface="+mn-ea"/>
              </a:rPr>
              <a:t>Filtration: Involves the use of different types of fibrous media designed to remove particles from the airstream.</a:t>
            </a:r>
          </a:p>
        </xdr:txBody>
      </xdr:sp>
      <xdr:grpSp>
        <xdr:nvGrpSpPr>
          <xdr:cNvPr id="2" name="Group 1">
            <a:extLst>
              <a:ext uri="{FF2B5EF4-FFF2-40B4-BE49-F238E27FC236}">
                <a16:creationId xmlns:a16="http://schemas.microsoft.com/office/drawing/2014/main" id="{BACC1907-E475-4B4B-83E3-22886B753E57}"/>
              </a:ext>
            </a:extLst>
          </xdr:cNvPr>
          <xdr:cNvGrpSpPr/>
        </xdr:nvGrpSpPr>
        <xdr:grpSpPr>
          <a:xfrm>
            <a:off x="1029951" y="5468940"/>
            <a:ext cx="7070272" cy="2598735"/>
            <a:chOff x="1055351" y="5395915"/>
            <a:chExt cx="7375072" cy="2509835"/>
          </a:xfrm>
        </xdr:grpSpPr>
        <xdr:sp macro="" textlink="">
          <xdr:nvSpPr>
            <xdr:cNvPr id="12" name="Rectangle 11">
              <a:extLst>
                <a:ext uri="{FF2B5EF4-FFF2-40B4-BE49-F238E27FC236}">
                  <a16:creationId xmlns:a16="http://schemas.microsoft.com/office/drawing/2014/main" id="{6F098B0E-1640-4B01-BFBB-F4DDAA4AA609}"/>
                </a:ext>
              </a:extLst>
            </xdr:cNvPr>
            <xdr:cNvSpPr/>
          </xdr:nvSpPr>
          <xdr:spPr>
            <a:xfrm>
              <a:off x="1055351" y="5603897"/>
              <a:ext cx="7375072" cy="2301853"/>
            </a:xfrm>
            <a:prstGeom prst="rect">
              <a:avLst/>
            </a:prstGeom>
            <a:solidFill>
              <a:schemeClr val="bg1"/>
            </a:solidFill>
            <a:ln w="22225">
              <a:solidFill>
                <a:schemeClr val="bg1">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3" name="Rectangle 12">
              <a:extLst>
                <a:ext uri="{FF2B5EF4-FFF2-40B4-BE49-F238E27FC236}">
                  <a16:creationId xmlns:a16="http://schemas.microsoft.com/office/drawing/2014/main" id="{BF9282B8-1301-465F-815D-E16F0BCA4FBB}"/>
                </a:ext>
              </a:extLst>
            </xdr:cNvPr>
            <xdr:cNvSpPr/>
          </xdr:nvSpPr>
          <xdr:spPr>
            <a:xfrm>
              <a:off x="2175319" y="5395915"/>
              <a:ext cx="5306976" cy="347651"/>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effectLst/>
                  <a:ea typeface="Calibri" panose="020F0502020204030204" pitchFamily="34" charset="0"/>
                  <a:cs typeface="Times New Roman" panose="02020603050405020304" pitchFamily="18" charset="0"/>
                </a:rPr>
                <a:t>SCHOOL Board Ventilation Strategy</a:t>
              </a:r>
              <a:endParaRPr lang="en-CA" sz="1100">
                <a:effectLst/>
                <a:ea typeface="Calibri" panose="020F0502020204030204" pitchFamily="34" charset="0"/>
                <a:cs typeface="Times New Roman" panose="02020603050405020304" pitchFamily="18" charset="0"/>
              </a:endParaRPr>
            </a:p>
          </xdr:txBody>
        </xdr:sp>
        <xdr:sp macro="" textlink="'4. Board Level Worksheet'!$C$8">
          <xdr:nvSpPr>
            <xdr:cNvPr id="23" name="TextBox 22">
              <a:extLst>
                <a:ext uri="{FF2B5EF4-FFF2-40B4-BE49-F238E27FC236}">
                  <a16:creationId xmlns:a16="http://schemas.microsoft.com/office/drawing/2014/main" id="{3A0BDAB4-FD40-4C3B-A8FE-FA6198569BCE}"/>
                </a:ext>
              </a:extLst>
            </xdr:cNvPr>
            <xdr:cNvSpPr txBox="1"/>
          </xdr:nvSpPr>
          <xdr:spPr>
            <a:xfrm>
              <a:off x="1214864" y="5796208"/>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3E6FA2A9-4517-4F2F-B35C-EC6509AA3838}"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Optimize air quality systems at all facilities to ensure the health and safety for all CDSBEO students, staff, and partners.</a:t>
              </a:fld>
              <a:endParaRPr lang="en-US" sz="1200">
                <a:solidFill>
                  <a:sysClr val="windowText" lastClr="000000"/>
                </a:solidFill>
              </a:endParaRPr>
            </a:p>
          </xdr:txBody>
        </xdr:sp>
        <xdr:sp macro="" textlink="'4. Board Level Worksheet'!$C$10">
          <xdr:nvSpPr>
            <xdr:cNvPr id="29" name="TextBox 28">
              <a:extLst>
                <a:ext uri="{FF2B5EF4-FFF2-40B4-BE49-F238E27FC236}">
                  <a16:creationId xmlns:a16="http://schemas.microsoft.com/office/drawing/2014/main" id="{4B5226C8-1A7E-4816-8F8C-876218F9948A}"/>
                </a:ext>
              </a:extLst>
            </xdr:cNvPr>
            <xdr:cNvSpPr txBox="1"/>
          </xdr:nvSpPr>
          <xdr:spPr>
            <a:xfrm>
              <a:off x="1214864" y="6838298"/>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B2F82698-EDB4-477E-AB4C-7575174C9B66}"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Utilize all resources at our disposal to improve our indoor air quality.</a:t>
              </a:fld>
              <a:endParaRPr lang="en-US" sz="1200">
                <a:solidFill>
                  <a:sysClr val="windowText" lastClr="000000"/>
                </a:solidFill>
              </a:endParaRPr>
            </a:p>
          </xdr:txBody>
        </xdr:sp>
        <xdr:sp macro="" textlink="'4. Board Level Worksheet'!$C$11">
          <xdr:nvSpPr>
            <xdr:cNvPr id="32" name="TextBox 31">
              <a:extLst>
                <a:ext uri="{FF2B5EF4-FFF2-40B4-BE49-F238E27FC236}">
                  <a16:creationId xmlns:a16="http://schemas.microsoft.com/office/drawing/2014/main" id="{C409DC04-1F4A-4E86-93BA-4814425B7D54}"/>
                </a:ext>
              </a:extLst>
            </xdr:cNvPr>
            <xdr:cNvSpPr txBox="1"/>
          </xdr:nvSpPr>
          <xdr:spPr>
            <a:xfrm>
              <a:off x="1214864" y="7317671"/>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B877D246-BF0E-47EE-B119-50FA40B6826E}"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Continue frequent routine maintenance and inspections of our ventilation system to ensure optimal performance.</a:t>
              </a:fld>
              <a:endParaRPr lang="en-US" sz="1200">
                <a:solidFill>
                  <a:sysClr val="windowText" lastClr="000000"/>
                </a:solidFill>
              </a:endParaRPr>
            </a:p>
          </xdr:txBody>
        </xdr:sp>
        <xdr:sp macro="" textlink="'4. Board Level Worksheet'!$C$9">
          <xdr:nvSpPr>
            <xdr:cNvPr id="25" name="TextBox 24">
              <a:extLst>
                <a:ext uri="{FF2B5EF4-FFF2-40B4-BE49-F238E27FC236}">
                  <a16:creationId xmlns:a16="http://schemas.microsoft.com/office/drawing/2014/main" id="{BE976239-1C36-45D2-861A-ED2D6AA9558A}"/>
                </a:ext>
              </a:extLst>
            </xdr:cNvPr>
            <xdr:cNvSpPr txBox="1"/>
          </xdr:nvSpPr>
          <xdr:spPr>
            <a:xfrm>
              <a:off x="1214864" y="6381440"/>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01510CFA-31D4-4749-B132-0CA5E24D404B}"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Research and implement technologies to enhance our ventilation systems.</a:t>
              </a:fld>
              <a:endParaRPr lang="en-US" sz="1200">
                <a:solidFill>
                  <a:sysClr val="windowText" lastClr="000000"/>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56091</xdr:colOff>
      <xdr:row>6</xdr:row>
      <xdr:rowOff>109009</xdr:rowOff>
    </xdr:from>
    <xdr:to>
      <xdr:col>13</xdr:col>
      <xdr:colOff>542925</xdr:colOff>
      <xdr:row>31</xdr:row>
      <xdr:rowOff>41275</xdr:rowOff>
    </xdr:to>
    <xdr:sp macro="" textlink="">
      <xdr:nvSpPr>
        <xdr:cNvPr id="3" name="Rectangle 2">
          <a:extLst>
            <a:ext uri="{FF2B5EF4-FFF2-40B4-BE49-F238E27FC236}">
              <a16:creationId xmlns:a16="http://schemas.microsoft.com/office/drawing/2014/main" id="{9C36CF3C-BEF0-45F1-BC02-8FB7CE87C1B4}"/>
            </a:ext>
            <a:ext uri="{C183D7F6-B498-43B3-948B-1728B52AA6E4}">
              <adec:decorative xmlns:adec="http://schemas.microsoft.com/office/drawing/2017/decorative" val="1"/>
            </a:ext>
          </a:extLst>
        </xdr:cNvPr>
        <xdr:cNvSpPr/>
      </xdr:nvSpPr>
      <xdr:spPr>
        <a:xfrm>
          <a:off x="313266" y="1337734"/>
          <a:ext cx="9173634" cy="4694766"/>
        </a:xfrm>
        <a:prstGeom prst="rect">
          <a:avLst/>
        </a:prstGeom>
        <a:solidFill>
          <a:schemeClr val="bg1">
            <a:lumMod val="95000"/>
          </a:schemeClr>
        </a:solidFill>
        <a:ln w="22225" cap="rnd">
          <a:solidFill>
            <a:schemeClr val="bg1">
              <a:lumMod val="85000"/>
            </a:schemeClr>
          </a:solidFill>
          <a:round/>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3173</xdr:colOff>
      <xdr:row>0</xdr:row>
      <xdr:rowOff>82550</xdr:rowOff>
    </xdr:from>
    <xdr:to>
      <xdr:col>14</xdr:col>
      <xdr:colOff>0</xdr:colOff>
      <xdr:row>4</xdr:row>
      <xdr:rowOff>31329</xdr:rowOff>
    </xdr:to>
    <xdr:grpSp>
      <xdr:nvGrpSpPr>
        <xdr:cNvPr id="4" name="Group 3" descr="decorative element">
          <a:extLst>
            <a:ext uri="{FF2B5EF4-FFF2-40B4-BE49-F238E27FC236}">
              <a16:creationId xmlns:a16="http://schemas.microsoft.com/office/drawing/2014/main" id="{B98C00F6-7C37-4AF3-8F6B-62ECDF236904}"/>
            </a:ext>
          </a:extLst>
        </xdr:cNvPr>
        <xdr:cNvGrpSpPr/>
      </xdr:nvGrpSpPr>
      <xdr:grpSpPr>
        <a:xfrm>
          <a:off x="279398" y="82550"/>
          <a:ext cx="9964740" cy="786979"/>
          <a:chOff x="-11209" y="81349"/>
          <a:chExt cx="6840014" cy="969508"/>
        </a:xfrm>
        <a:solidFill>
          <a:schemeClr val="tx2">
            <a:lumMod val="60000"/>
            <a:lumOff val="40000"/>
          </a:schemeClr>
        </a:solidFill>
      </xdr:grpSpPr>
      <xdr:sp macro="" textlink="">
        <xdr:nvSpPr>
          <xdr:cNvPr id="5" name="Rectangle 4">
            <a:extLst>
              <a:ext uri="{FF2B5EF4-FFF2-40B4-BE49-F238E27FC236}">
                <a16:creationId xmlns:a16="http://schemas.microsoft.com/office/drawing/2014/main" id="{18B30662-CB19-4F64-B715-A43436FBBABD}"/>
              </a:ext>
            </a:extLst>
          </xdr:cNvPr>
          <xdr:cNvSpPr/>
        </xdr:nvSpPr>
        <xdr:spPr>
          <a:xfrm>
            <a:off x="-11209" y="81349"/>
            <a:ext cx="6840014" cy="969508"/>
          </a:xfrm>
          <a:prstGeom prst="rect">
            <a:avLst/>
          </a:prstGeom>
          <a:grp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CA"/>
          </a:p>
        </xdr:txBody>
      </xdr:sp>
      <xdr:sp macro="" textlink="">
        <xdr:nvSpPr>
          <xdr:cNvPr id="6" name="Text Box 261">
            <a:extLst>
              <a:ext uri="{FF2B5EF4-FFF2-40B4-BE49-F238E27FC236}">
                <a16:creationId xmlns:a16="http://schemas.microsoft.com/office/drawing/2014/main" id="{135A8F8A-DA82-4DC7-B082-56797B7CE5AA}"/>
              </a:ext>
            </a:extLst>
          </xdr:cNvPr>
          <xdr:cNvSpPr txBox="1">
            <a:spLocks noChangeArrowheads="1"/>
          </xdr:cNvSpPr>
        </xdr:nvSpPr>
        <xdr:spPr bwMode="auto">
          <a:xfrm>
            <a:off x="1924831" y="571909"/>
            <a:ext cx="3055430" cy="413411"/>
          </a:xfrm>
          <a:prstGeom prst="rect">
            <a:avLst/>
          </a:prstGeom>
          <a:grp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en-US" sz="1800" b="1" kern="1400" spc="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School Board Ventilation </a:t>
            </a:r>
            <a:r>
              <a:rPr lang="en-US" sz="1800" b="1" kern="1400" cap="small" spc="0" baseline="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Profile</a:t>
            </a:r>
            <a:endParaRPr lang="en-CA" sz="1800" kern="1400" cap="small" spc="-50" baseline="0">
              <a:effectLst/>
              <a:latin typeface="Calibri Light" panose="020F0302020204030204" pitchFamily="34" charset="0"/>
              <a:ea typeface="Times New Roman" panose="02020603050405020304" pitchFamily="18" charset="0"/>
              <a:cs typeface="Times New Roman" panose="02020603050405020304" pitchFamily="18" charset="0"/>
            </a:endParaRPr>
          </a:p>
        </xdr:txBody>
      </xdr:sp>
    </xdr:grpSp>
    <xdr:clientData/>
  </xdr:twoCellAnchor>
  <xdr:twoCellAnchor editAs="oneCell">
    <xdr:from>
      <xdr:col>1</xdr:col>
      <xdr:colOff>47625</xdr:colOff>
      <xdr:row>0</xdr:row>
      <xdr:rowOff>142876</xdr:rowOff>
    </xdr:from>
    <xdr:to>
      <xdr:col>2</xdr:col>
      <xdr:colOff>46566</xdr:colOff>
      <xdr:row>3</xdr:row>
      <xdr:rowOff>213996</xdr:rowOff>
    </xdr:to>
    <xdr:pic>
      <xdr:nvPicPr>
        <xdr:cNvPr id="7" name="Graphic 20" descr="Checklist">
          <a:extLst>
            <a:ext uri="{FF2B5EF4-FFF2-40B4-BE49-F238E27FC236}">
              <a16:creationId xmlns:a16="http://schemas.microsoft.com/office/drawing/2014/main" id="{C96B1CA0-D4E0-43DE-8D5E-870C88C4BC26}"/>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625" y="142876"/>
          <a:ext cx="713316" cy="673100"/>
        </a:xfrm>
        <a:prstGeom prst="rect">
          <a:avLst/>
        </a:prstGeom>
      </xdr:spPr>
    </xdr:pic>
    <xdr:clientData/>
  </xdr:twoCellAnchor>
  <xdr:twoCellAnchor>
    <xdr:from>
      <xdr:col>5</xdr:col>
      <xdr:colOff>19049</xdr:colOff>
      <xdr:row>0</xdr:row>
      <xdr:rowOff>123825</xdr:rowOff>
    </xdr:from>
    <xdr:to>
      <xdr:col>10</xdr:col>
      <xdr:colOff>85724</xdr:colOff>
      <xdr:row>2</xdr:row>
      <xdr:rowOff>161925</xdr:rowOff>
    </xdr:to>
    <xdr:sp macro="" textlink="'4. Board Level Worksheet'!$C$5">
      <xdr:nvSpPr>
        <xdr:cNvPr id="8" name="TextBox 7">
          <a:extLst>
            <a:ext uri="{FF2B5EF4-FFF2-40B4-BE49-F238E27FC236}">
              <a16:creationId xmlns:a16="http://schemas.microsoft.com/office/drawing/2014/main" id="{1431A383-607D-4D6E-AA1E-AD58B665FD27}"/>
            </a:ext>
          </a:extLst>
        </xdr:cNvPr>
        <xdr:cNvSpPr txBox="1"/>
      </xdr:nvSpPr>
      <xdr:spPr>
        <a:xfrm>
          <a:off x="3171824" y="123825"/>
          <a:ext cx="3686175" cy="438150"/>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9612543-D759-458D-95F1-F6FEDB4C3B96}" type="TxLink">
            <a:rPr lang="en-US" sz="1800" b="1" i="0" u="none" strike="noStrike" cap="small" baseline="0">
              <a:solidFill>
                <a:schemeClr val="bg1"/>
              </a:solidFill>
              <a:latin typeface="Calibri"/>
              <a:cs typeface="Calibri"/>
            </a:rPr>
            <a:pPr algn="ctr"/>
            <a:t>Catholic DSB of Eastern Ontario</a:t>
          </a:fld>
          <a:endParaRPr lang="en-CA" sz="1800" b="1" cap="small" baseline="0">
            <a:solidFill>
              <a:schemeClr val="bg1"/>
            </a:solidFill>
          </a:endParaRPr>
        </a:p>
      </xdr:txBody>
    </xdr:sp>
    <xdr:clientData/>
  </xdr:twoCellAnchor>
  <xdr:twoCellAnchor>
    <xdr:from>
      <xdr:col>1</xdr:col>
      <xdr:colOff>366528</xdr:colOff>
      <xdr:row>9</xdr:row>
      <xdr:rowOff>158750</xdr:rowOff>
    </xdr:from>
    <xdr:to>
      <xdr:col>7</xdr:col>
      <xdr:colOff>163328</xdr:colOff>
      <xdr:row>13</xdr:row>
      <xdr:rowOff>31750</xdr:rowOff>
    </xdr:to>
    <xdr:grpSp>
      <xdr:nvGrpSpPr>
        <xdr:cNvPr id="15" name="Group 14">
          <a:extLst>
            <a:ext uri="{FF2B5EF4-FFF2-40B4-BE49-F238E27FC236}">
              <a16:creationId xmlns:a16="http://schemas.microsoft.com/office/drawing/2014/main" id="{60F96C20-FE2C-4CD3-9576-2F46F98CF8DE}"/>
            </a:ext>
            <a:ext uri="{C183D7F6-B498-43B3-948B-1728B52AA6E4}">
              <adec:decorative xmlns:adec="http://schemas.microsoft.com/office/drawing/2017/decorative" val="1"/>
            </a:ext>
          </a:extLst>
        </xdr:cNvPr>
        <xdr:cNvGrpSpPr/>
      </xdr:nvGrpSpPr>
      <xdr:grpSpPr>
        <a:xfrm>
          <a:off x="642753" y="1901825"/>
          <a:ext cx="4454525" cy="596900"/>
          <a:chOff x="907315" y="1949450"/>
          <a:chExt cx="3321050" cy="1083945"/>
        </a:xfrm>
      </xdr:grpSpPr>
      <xdr:sp macro="" textlink="">
        <xdr:nvSpPr>
          <xdr:cNvPr id="11" name="Text Box 2">
            <a:extLst>
              <a:ext uri="{FF2B5EF4-FFF2-40B4-BE49-F238E27FC236}">
                <a16:creationId xmlns:a16="http://schemas.microsoft.com/office/drawing/2014/main" id="{D1B57B83-4833-42B0-8C5E-82F6EE2BBFB8}"/>
              </a:ext>
            </a:extLst>
          </xdr:cNvPr>
          <xdr:cNvSpPr txBox="1">
            <a:spLocks noChangeArrowheads="1"/>
          </xdr:cNvSpPr>
        </xdr:nvSpPr>
        <xdr:spPr bwMode="auto">
          <a:xfrm>
            <a:off x="907315" y="1949450"/>
            <a:ext cx="3321050" cy="1083945"/>
          </a:xfrm>
          <a:prstGeom prst="rect">
            <a:avLst/>
          </a:prstGeom>
          <a:solidFill>
            <a:schemeClr val="tx2">
              <a:lumMod val="20000"/>
              <a:lumOff val="80000"/>
            </a:schemeClr>
          </a:solidFill>
          <a:ln w="9525">
            <a:solidFill>
              <a:schemeClr val="tx2"/>
            </a:solidFill>
            <a:miter lim="800000"/>
            <a:headEnd/>
            <a:tailEnd/>
          </a:ln>
        </xdr:spPr>
        <xdr:txBody>
          <a:bodyPr rot="0" vert="horz" wrap="square" lIns="91440" tIns="45720" rIns="91440" bIns="45720" anchor="ctr" anchorCtr="0">
            <a:noAutofit/>
          </a:bodyPr>
          <a:lstStyle/>
          <a:p>
            <a:pPr algn="ctr">
              <a:lnSpc>
                <a:spcPct val="107000"/>
              </a:lnSpc>
              <a:spcAft>
                <a:spcPts val="0"/>
              </a:spcAft>
            </a:pPr>
            <a:endParaRPr lang="en-CA" sz="1200" b="1">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ctr" defTabSz="914400" eaLnBrk="1" fontAlgn="auto" latinLnBrk="0" hangingPunct="1">
              <a:lnSpc>
                <a:spcPct val="107000"/>
              </a:lnSpc>
              <a:spcBef>
                <a:spcPts val="0"/>
              </a:spcBef>
              <a:spcAft>
                <a:spcPts val="0"/>
              </a:spcAft>
              <a:buClrTx/>
              <a:buSzTx/>
              <a:buFontTx/>
              <a:buNone/>
              <a:tabLst/>
              <a:defRPr/>
            </a:pPr>
            <a:endParaRPr lang="en-CA" sz="1200" b="1">
              <a:solidFill>
                <a:schemeClr val="tx2"/>
              </a:solidFill>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l" defTabSz="914400" eaLnBrk="1" fontAlgn="auto" latinLnBrk="0" hangingPunct="1">
              <a:lnSpc>
                <a:spcPct val="107000"/>
              </a:lnSpc>
              <a:spcBef>
                <a:spcPts val="0"/>
              </a:spcBef>
              <a:spcAft>
                <a:spcPts val="0"/>
              </a:spcAft>
              <a:buClrTx/>
              <a:buSzTx/>
              <a:buFontTx/>
              <a:buNone/>
              <a:tabLst/>
              <a:defRPr/>
            </a:pPr>
            <a:endParaRPr lang="en-CA" sz="1400" b="1">
              <a:solidFill>
                <a:schemeClr val="tx2">
                  <a:lumMod val="50000"/>
                </a:schemeClr>
              </a:solidFill>
              <a:effectLst/>
              <a:latin typeface="+mn-lt"/>
              <a:ea typeface="+mn-ea"/>
              <a:cs typeface="+mn-cs"/>
            </a:endParaRPr>
          </a:p>
          <a:p>
            <a:pPr marL="0" marR="0" lvl="0" indent="0" algn="l" defTabSz="914400" eaLnBrk="1" fontAlgn="auto" latinLnBrk="0" hangingPunct="1">
              <a:lnSpc>
                <a:spcPct val="107000"/>
              </a:lnSpc>
              <a:spcBef>
                <a:spcPts val="0"/>
              </a:spcBef>
              <a:spcAft>
                <a:spcPts val="0"/>
              </a:spcAft>
              <a:buClrTx/>
              <a:buSzTx/>
              <a:buFontTx/>
              <a:buNone/>
              <a:tabLst/>
              <a:defRPr/>
            </a:pPr>
            <a:r>
              <a:rPr lang="en-CA" sz="1400" b="1">
                <a:solidFill>
                  <a:schemeClr val="tx2">
                    <a:lumMod val="50000"/>
                  </a:schemeClr>
                </a:solidFill>
                <a:effectLst/>
                <a:latin typeface="+mn-lt"/>
                <a:ea typeface="+mn-ea"/>
                <a:cs typeface="+mn-cs"/>
              </a:rPr>
              <a:t>    Ventilation Funding*            |</a:t>
            </a:r>
          </a:p>
          <a:p>
            <a:pPr algn="ctr">
              <a:lnSpc>
                <a:spcPct val="107000"/>
              </a:lnSpc>
              <a:spcAft>
                <a:spcPts val="0"/>
              </a:spcAft>
            </a:pPr>
            <a:endParaRPr lang="en-CA" sz="1200">
              <a:effectLst/>
              <a:latin typeface="Calibri" panose="020F0502020204030204" pitchFamily="34" charset="0"/>
              <a:ea typeface="Century Gothic" panose="020B0502020202020204" pitchFamily="34" charset="0"/>
              <a:cs typeface="Calibri" panose="020F0502020204030204" pitchFamily="34" charset="0"/>
            </a:endParaRPr>
          </a:p>
          <a:p>
            <a:pPr algn="ctr">
              <a:lnSpc>
                <a:spcPct val="107000"/>
              </a:lnSpc>
              <a:spcAft>
                <a:spcPts val="0"/>
              </a:spcAft>
            </a:pPr>
            <a:endParaRPr lang="en-CA" sz="1200">
              <a:effectLst/>
              <a:latin typeface="Calibri" panose="020F0502020204030204" pitchFamily="34" charset="0"/>
              <a:ea typeface="Century Gothic" panose="020B0502020202020204" pitchFamily="34" charset="0"/>
              <a:cs typeface="Calibri" panose="020F0502020204030204" pitchFamily="34" charset="0"/>
            </a:endParaRPr>
          </a:p>
          <a:p>
            <a:pPr algn="ctr">
              <a:lnSpc>
                <a:spcPct val="107000"/>
              </a:lnSpc>
              <a:spcAft>
                <a:spcPts val="0"/>
              </a:spcAft>
            </a:pPr>
            <a:r>
              <a:rPr lang="en-CA" sz="1100">
                <a:effectLst/>
                <a:latin typeface="Calibri" panose="020F0502020204030204" pitchFamily="34" charset="0"/>
                <a:ea typeface="Century Gothic" panose="020B0502020202020204" pitchFamily="34" charset="0"/>
                <a:cs typeface="Calibri" panose="020F0502020204030204" pitchFamily="34" charset="0"/>
              </a:rPr>
              <a:t> </a:t>
            </a:r>
            <a:endParaRPr lang="en-CA" sz="105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18">
        <xdr:nvSpPr>
          <xdr:cNvPr id="12" name="TextBox 11">
            <a:extLst>
              <a:ext uri="{FF2B5EF4-FFF2-40B4-BE49-F238E27FC236}">
                <a16:creationId xmlns:a16="http://schemas.microsoft.com/office/drawing/2014/main" id="{18D17B81-ECA9-4587-89CF-22B12639AF5D}"/>
              </a:ext>
            </a:extLst>
          </xdr:cNvPr>
          <xdr:cNvSpPr txBox="1"/>
        </xdr:nvSpPr>
        <xdr:spPr>
          <a:xfrm>
            <a:off x="3061608" y="2350204"/>
            <a:ext cx="683891" cy="392420"/>
          </a:xfrm>
          <a:prstGeom prst="rect">
            <a:avLst/>
          </a:prstGeom>
          <a:solidFill>
            <a:schemeClr val="tx2">
              <a:lumMod val="20000"/>
              <a:lumOff val="80000"/>
            </a:schemeClr>
          </a:solidFill>
          <a:ln w="9525" cmpd="sng">
            <a:solidFill>
              <a:schemeClr val="tx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5E61189-DCF6-4A08-A627-109BF2386859}" type="TxLink">
              <a:rPr lang="en-US" sz="1400" b="1" i="0" u="none" strike="noStrike">
                <a:solidFill>
                  <a:schemeClr val="tx2">
                    <a:lumMod val="50000"/>
                  </a:schemeClr>
                </a:solidFill>
                <a:latin typeface="Calibri"/>
                <a:cs typeface="Calibri"/>
              </a:rPr>
              <a:pPr algn="ctr"/>
              <a:t>$6.8M</a:t>
            </a:fld>
            <a:endParaRPr lang="en-CA" sz="1400" b="1">
              <a:solidFill>
                <a:schemeClr val="tx2">
                  <a:lumMod val="50000"/>
                </a:schemeClr>
              </a:solidFill>
            </a:endParaRPr>
          </a:p>
        </xdr:txBody>
      </xdr:sp>
    </xdr:grpSp>
    <xdr:clientData/>
  </xdr:twoCellAnchor>
  <xdr:twoCellAnchor>
    <xdr:from>
      <xdr:col>7</xdr:col>
      <xdr:colOff>454026</xdr:colOff>
      <xdr:row>9</xdr:row>
      <xdr:rowOff>171451</xdr:rowOff>
    </xdr:from>
    <xdr:to>
      <xdr:col>13</xdr:col>
      <xdr:colOff>250626</xdr:colOff>
      <xdr:row>13</xdr:row>
      <xdr:rowOff>44450</xdr:rowOff>
    </xdr:to>
    <xdr:grpSp>
      <xdr:nvGrpSpPr>
        <xdr:cNvPr id="17" name="Group 16">
          <a:extLst>
            <a:ext uri="{FF2B5EF4-FFF2-40B4-BE49-F238E27FC236}">
              <a16:creationId xmlns:a16="http://schemas.microsoft.com/office/drawing/2014/main" id="{ABF965C9-C8AF-4BE0-A0FF-D3F8561085AD}"/>
            </a:ext>
            <a:ext uri="{C183D7F6-B498-43B3-948B-1728B52AA6E4}">
              <adec:decorative xmlns:adec="http://schemas.microsoft.com/office/drawing/2017/decorative" val="1"/>
            </a:ext>
          </a:extLst>
        </xdr:cNvPr>
        <xdr:cNvGrpSpPr/>
      </xdr:nvGrpSpPr>
      <xdr:grpSpPr>
        <a:xfrm>
          <a:off x="5387976" y="1914526"/>
          <a:ext cx="4454325" cy="596899"/>
          <a:chOff x="1014455" y="1974850"/>
          <a:chExt cx="3359817" cy="1083945"/>
        </a:xfrm>
      </xdr:grpSpPr>
      <xdr:sp macro="" textlink="">
        <xdr:nvSpPr>
          <xdr:cNvPr id="18" name="Text Box 2">
            <a:extLst>
              <a:ext uri="{FF2B5EF4-FFF2-40B4-BE49-F238E27FC236}">
                <a16:creationId xmlns:a16="http://schemas.microsoft.com/office/drawing/2014/main" id="{FC04BCAB-912C-48C6-87A2-14CDD1558FAB}"/>
              </a:ext>
            </a:extLst>
          </xdr:cNvPr>
          <xdr:cNvSpPr txBox="1">
            <a:spLocks noChangeArrowheads="1"/>
          </xdr:cNvSpPr>
        </xdr:nvSpPr>
        <xdr:spPr bwMode="auto">
          <a:xfrm>
            <a:off x="1014455" y="1974850"/>
            <a:ext cx="3359817" cy="1083945"/>
          </a:xfrm>
          <a:prstGeom prst="rect">
            <a:avLst/>
          </a:prstGeom>
          <a:solidFill>
            <a:schemeClr val="accent6">
              <a:lumMod val="20000"/>
              <a:lumOff val="80000"/>
            </a:schemeClr>
          </a:solidFill>
          <a:ln w="9525">
            <a:solidFill>
              <a:schemeClr val="accent6">
                <a:lumMod val="50000"/>
              </a:schemeClr>
            </a:solidFill>
            <a:miter lim="800000"/>
            <a:headEnd/>
            <a:tailEnd/>
          </a:ln>
        </xdr:spPr>
        <xdr:txBody>
          <a:bodyPr rot="0" vert="horz" wrap="square" lIns="91440" tIns="45720" rIns="91440" bIns="45720" anchor="ctr" anchorCtr="0">
            <a:noAutofit/>
          </a:bodyPr>
          <a:lstStyle/>
          <a:p>
            <a:pPr algn="l">
              <a:lnSpc>
                <a:spcPct val="107000"/>
              </a:lnSpc>
              <a:spcAft>
                <a:spcPts val="0"/>
              </a:spcAft>
            </a:pPr>
            <a:r>
              <a:rPr lang="en-CA" sz="1400" b="1">
                <a:solidFill>
                  <a:sysClr val="windowText" lastClr="000000"/>
                </a:solidFill>
                <a:effectLst/>
                <a:latin typeface="Calibri" panose="020F0502020204030204" pitchFamily="34" charset="0"/>
                <a:ea typeface="Century Gothic" panose="020B0502020202020204" pitchFamily="34" charset="0"/>
                <a:cs typeface="Calibri" panose="020F0502020204030204" pitchFamily="34" charset="0"/>
              </a:rPr>
              <a:t>     Ventilation Funding*            |</a:t>
            </a:r>
          </a:p>
        </xdr:txBody>
      </xdr:sp>
      <xdr:sp macro="" textlink="'4. Board Level Worksheet'!$C$19">
        <xdr:nvSpPr>
          <xdr:cNvPr id="19" name="TextBox 18">
            <a:extLst>
              <a:ext uri="{FF2B5EF4-FFF2-40B4-BE49-F238E27FC236}">
                <a16:creationId xmlns:a16="http://schemas.microsoft.com/office/drawing/2014/main" id="{B3281F93-AC1F-4E38-B11B-C777199D6FA3}"/>
              </a:ext>
            </a:extLst>
          </xdr:cNvPr>
          <xdr:cNvSpPr txBox="1"/>
        </xdr:nvSpPr>
        <xdr:spPr>
          <a:xfrm>
            <a:off x="3330754" y="2318847"/>
            <a:ext cx="615797" cy="452702"/>
          </a:xfrm>
          <a:prstGeom prst="rect">
            <a:avLst/>
          </a:prstGeom>
          <a:solidFill>
            <a:schemeClr val="accent6">
              <a:lumMod val="20000"/>
              <a:lumOff val="80000"/>
            </a:schemeClr>
          </a:solidFill>
          <a:ln w="9525" cmpd="sng">
            <a:solidFill>
              <a:schemeClr val="accent6">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F0CC4E4-51C1-48CB-AE2F-3B4205E0AECC}" type="TxLink">
              <a:rPr lang="en-US" sz="1400" b="1" i="0" u="none" strike="noStrike">
                <a:solidFill>
                  <a:srgbClr val="3F3F3F"/>
                </a:solidFill>
                <a:latin typeface="Calibri"/>
                <a:cs typeface="Calibri"/>
              </a:rPr>
              <a:pPr algn="ctr"/>
              <a:t>$2.2M</a:t>
            </a:fld>
            <a:endParaRPr lang="en-CA" sz="1400" b="1">
              <a:solidFill>
                <a:schemeClr val="accent6">
                  <a:lumMod val="50000"/>
                </a:schemeClr>
              </a:solidFill>
            </a:endParaRPr>
          </a:p>
        </xdr:txBody>
      </xdr:sp>
    </xdr:grpSp>
    <xdr:clientData/>
  </xdr:twoCellAnchor>
  <xdr:twoCellAnchor>
    <xdr:from>
      <xdr:col>1</xdr:col>
      <xdr:colOff>275167</xdr:colOff>
      <xdr:row>14</xdr:row>
      <xdr:rowOff>50800</xdr:rowOff>
    </xdr:from>
    <xdr:to>
      <xdr:col>13</xdr:col>
      <xdr:colOff>428625</xdr:colOff>
      <xdr:row>14</xdr:row>
      <xdr:rowOff>69850</xdr:rowOff>
    </xdr:to>
    <xdr:cxnSp macro="">
      <xdr:nvCxnSpPr>
        <xdr:cNvPr id="24" name="Straight Connector 23">
          <a:extLst>
            <a:ext uri="{FF2B5EF4-FFF2-40B4-BE49-F238E27FC236}">
              <a16:creationId xmlns:a16="http://schemas.microsoft.com/office/drawing/2014/main" id="{0293ECBE-CB76-4108-AB3E-58446C2CC63A}"/>
            </a:ext>
            <a:ext uri="{C183D7F6-B498-43B3-948B-1728B52AA6E4}">
              <adec:decorative xmlns:adec="http://schemas.microsoft.com/office/drawing/2017/decorative" val="1"/>
            </a:ext>
          </a:extLst>
        </xdr:cNvPr>
        <xdr:cNvCxnSpPr/>
      </xdr:nvCxnSpPr>
      <xdr:spPr>
        <a:xfrm flipV="1">
          <a:off x="535517" y="2698750"/>
          <a:ext cx="9145058" cy="19050"/>
        </a:xfrm>
        <a:prstGeom prst="line">
          <a:avLst/>
        </a:prstGeom>
        <a:ln w="19050">
          <a:solidFill>
            <a:schemeClr val="bg1">
              <a:lumMod val="6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447675</xdr:colOff>
      <xdr:row>14</xdr:row>
      <xdr:rowOff>171450</xdr:rowOff>
    </xdr:from>
    <xdr:to>
      <xdr:col>7</xdr:col>
      <xdr:colOff>3175</xdr:colOff>
      <xdr:row>17</xdr:row>
      <xdr:rowOff>73027</xdr:rowOff>
    </xdr:to>
    <xdr:grpSp>
      <xdr:nvGrpSpPr>
        <xdr:cNvPr id="41" name="Group 40">
          <a:extLst>
            <a:ext uri="{FF2B5EF4-FFF2-40B4-BE49-F238E27FC236}">
              <a16:creationId xmlns:a16="http://schemas.microsoft.com/office/drawing/2014/main" id="{B4FA466A-7C58-4934-BC5F-CED10BB36F2E}"/>
            </a:ext>
            <a:ext uri="{C183D7F6-B498-43B3-948B-1728B52AA6E4}">
              <adec:decorative xmlns:adec="http://schemas.microsoft.com/office/drawing/2017/decorative" val="1"/>
            </a:ext>
          </a:extLst>
        </xdr:cNvPr>
        <xdr:cNvGrpSpPr/>
      </xdr:nvGrpSpPr>
      <xdr:grpSpPr>
        <a:xfrm>
          <a:off x="723900" y="2819400"/>
          <a:ext cx="4213225" cy="444502"/>
          <a:chOff x="-129072" y="-203481"/>
          <a:chExt cx="5101715" cy="386609"/>
        </a:xfrm>
      </xdr:grpSpPr>
      <xdr:sp macro="" textlink="'4. Board Level Worksheet'!$C$21">
        <xdr:nvSpPr>
          <xdr:cNvPr id="42" name="Arrow: Chevron 226">
            <a:extLst>
              <a:ext uri="{FF2B5EF4-FFF2-40B4-BE49-F238E27FC236}">
                <a16:creationId xmlns:a16="http://schemas.microsoft.com/office/drawing/2014/main" id="{E38E8E59-F94C-4BC2-AA3C-CD1BC10F4E68}"/>
              </a:ext>
            </a:extLst>
          </xdr:cNvPr>
          <xdr:cNvSpPr/>
        </xdr:nvSpPr>
        <xdr:spPr>
          <a:xfrm>
            <a:off x="-129072" y="-203481"/>
            <a:ext cx="1161649" cy="367968"/>
          </a:xfrm>
          <a:prstGeom prst="homePlate">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51712AC7-7DEA-411C-8BC9-F49C4EA59B2D}"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34</a:t>
            </a:fld>
            <a:endParaRPr lang="en-CA" sz="1800" b="1">
              <a:solidFill>
                <a:schemeClr val="bg1"/>
              </a:solidFill>
              <a:effectLst/>
              <a:ea typeface="Calibri" panose="020F0502020204030204" pitchFamily="34" charset="0"/>
              <a:cs typeface="Times New Roman" panose="02020603050405020304" pitchFamily="18" charset="0"/>
            </a:endParaRPr>
          </a:p>
        </xdr:txBody>
      </xdr:sp>
      <xdr:sp macro="" textlink="">
        <xdr:nvSpPr>
          <xdr:cNvPr id="43" name="Text Box 2">
            <a:extLst>
              <a:ext uri="{FF2B5EF4-FFF2-40B4-BE49-F238E27FC236}">
                <a16:creationId xmlns:a16="http://schemas.microsoft.com/office/drawing/2014/main" id="{EEDD666B-12FA-42C9-A2E0-F34DE7BFCB07}"/>
              </a:ext>
            </a:extLst>
          </xdr:cNvPr>
          <xdr:cNvSpPr txBox="1">
            <a:spLocks noChangeArrowheads="1"/>
          </xdr:cNvSpPr>
        </xdr:nvSpPr>
        <xdr:spPr bwMode="auto">
          <a:xfrm>
            <a:off x="1084069" y="-156597"/>
            <a:ext cx="3888574" cy="339725"/>
          </a:xfrm>
          <a:prstGeom prst="rect">
            <a:avLst/>
          </a:prstGeom>
          <a:solidFill>
            <a:schemeClr val="bg1">
              <a:lumMod val="95000"/>
            </a:schemeClr>
          </a:solidFill>
          <a:ln w="9525">
            <a:noFill/>
            <a:miter lim="800000"/>
            <a:headEnd/>
            <a:tailEnd/>
          </a:ln>
        </xdr:spPr>
        <xdr:txBody>
          <a:bodyPr rot="0" vert="horz" wrap="square" lIns="91440" tIns="45720" rIns="91440" bIns="45720" anchor="t" anchorCtr="0">
            <a:noAutofit/>
          </a:bodyPr>
          <a:lstStyle/>
          <a:p>
            <a:pPr>
              <a:lnSpc>
                <a:spcPct val="107000"/>
              </a:lnSpc>
              <a:spcAft>
                <a:spcPts val="0"/>
              </a:spcAft>
            </a:pPr>
            <a:r>
              <a:rPr lang="en-US" sz="1200" b="1">
                <a:solidFill>
                  <a:schemeClr val="tx1"/>
                </a:solidFill>
                <a:effectLst/>
                <a:latin typeface="Calibri" panose="020F0502020204030204" pitchFamily="34" charset="0"/>
                <a:ea typeface="Century Gothic" panose="020B0502020202020204" pitchFamily="34" charset="0"/>
                <a:cs typeface="Calibri" panose="020F0502020204030204" pitchFamily="34" charset="0"/>
              </a:rPr>
              <a:t>Ventilation projects completed</a:t>
            </a:r>
            <a:endParaRPr lang="en-CA" sz="1200" b="1">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2</xdr:col>
      <xdr:colOff>495300</xdr:colOff>
      <xdr:row>5</xdr:row>
      <xdr:rowOff>115707</xdr:rowOff>
    </xdr:from>
    <xdr:to>
      <xdr:col>12</xdr:col>
      <xdr:colOff>165100</xdr:colOff>
      <xdr:row>8</xdr:row>
      <xdr:rowOff>21162</xdr:rowOff>
    </xdr:to>
    <xdr:sp macro="" textlink="">
      <xdr:nvSpPr>
        <xdr:cNvPr id="9" name="Rectangle 8">
          <a:extLst>
            <a:ext uri="{FF2B5EF4-FFF2-40B4-BE49-F238E27FC236}">
              <a16:creationId xmlns:a16="http://schemas.microsoft.com/office/drawing/2014/main" id="{2AACD7C4-CC7F-4450-8416-6D00E47CEBCC}"/>
            </a:ext>
          </a:extLst>
        </xdr:cNvPr>
        <xdr:cNvSpPr/>
      </xdr:nvSpPr>
      <xdr:spPr>
        <a:xfrm>
          <a:off x="1102078" y="1032929"/>
          <a:ext cx="5737578" cy="45578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effectLst/>
              <a:ea typeface="Calibri" panose="020F0502020204030204" pitchFamily="34" charset="0"/>
              <a:cs typeface="Times New Roman" panose="02020603050405020304" pitchFamily="18" charset="0"/>
            </a:rPr>
            <a:t>SCHOOL BOARD wide investments</a:t>
          </a:r>
          <a:endParaRPr lang="en-CA" sz="1100">
            <a:effectLst/>
            <a:ea typeface="Calibri" panose="020F0502020204030204" pitchFamily="34" charset="0"/>
            <a:cs typeface="Times New Roman" panose="02020603050405020304" pitchFamily="18" charset="0"/>
          </a:endParaRPr>
        </a:p>
      </xdr:txBody>
    </xdr:sp>
    <xdr:clientData/>
  </xdr:twoCellAnchor>
  <xdr:twoCellAnchor>
    <xdr:from>
      <xdr:col>7</xdr:col>
      <xdr:colOff>565705</xdr:colOff>
      <xdr:row>14</xdr:row>
      <xdr:rowOff>169862</xdr:rowOff>
    </xdr:from>
    <xdr:to>
      <xdr:col>13</xdr:col>
      <xdr:colOff>554035</xdr:colOff>
      <xdr:row>17</xdr:row>
      <xdr:rowOff>48362</xdr:rowOff>
    </xdr:to>
    <xdr:grpSp>
      <xdr:nvGrpSpPr>
        <xdr:cNvPr id="13" name="Group 12">
          <a:extLst>
            <a:ext uri="{FF2B5EF4-FFF2-40B4-BE49-F238E27FC236}">
              <a16:creationId xmlns:a16="http://schemas.microsoft.com/office/drawing/2014/main" id="{928DA23C-863C-44FB-82FD-1A71905F574C}"/>
            </a:ext>
            <a:ext uri="{C183D7F6-B498-43B3-948B-1728B52AA6E4}">
              <adec:decorative xmlns:adec="http://schemas.microsoft.com/office/drawing/2017/decorative" val="1"/>
            </a:ext>
          </a:extLst>
        </xdr:cNvPr>
        <xdr:cNvGrpSpPr/>
      </xdr:nvGrpSpPr>
      <xdr:grpSpPr>
        <a:xfrm>
          <a:off x="5499655" y="2817812"/>
          <a:ext cx="4646055" cy="421425"/>
          <a:chOff x="5652364" y="4097454"/>
          <a:chExt cx="4121056" cy="353267"/>
        </a:xfrm>
      </xdr:grpSpPr>
      <xdr:sp macro="" textlink="">
        <xdr:nvSpPr>
          <xdr:cNvPr id="65" name="Text Box 2">
            <a:extLst>
              <a:ext uri="{FF2B5EF4-FFF2-40B4-BE49-F238E27FC236}">
                <a16:creationId xmlns:a16="http://schemas.microsoft.com/office/drawing/2014/main" id="{117B1D00-29B2-48B1-BEF2-BDCBDA44A605}"/>
              </a:ext>
            </a:extLst>
          </xdr:cNvPr>
          <xdr:cNvSpPr txBox="1">
            <a:spLocks noChangeArrowheads="1"/>
          </xdr:cNvSpPr>
        </xdr:nvSpPr>
        <xdr:spPr bwMode="auto">
          <a:xfrm>
            <a:off x="6477147" y="4105813"/>
            <a:ext cx="3296273" cy="337156"/>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gn="l">
              <a:lnSpc>
                <a:spcPct val="107000"/>
              </a:lnSpc>
              <a:spcAft>
                <a:spcPts val="0"/>
              </a:spcAft>
            </a:pPr>
            <a:r>
              <a:rPr lang="en-US" sz="1200" b="1">
                <a:effectLst/>
                <a:latin typeface="Calibri" panose="020F0502020204030204" pitchFamily="34" charset="0"/>
                <a:ea typeface="Century Gothic" panose="020B0502020202020204" pitchFamily="34" charset="0"/>
                <a:cs typeface="Calibri" panose="020F0502020204030204" pitchFamily="34" charset="0"/>
              </a:rPr>
              <a:t>Ventilation projects in progress / planned</a:t>
            </a:r>
            <a:endParaRPr lang="en-CA" sz="12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24">
        <xdr:nvSpPr>
          <xdr:cNvPr id="66" name="Arrow: Chevron 226">
            <a:extLst>
              <a:ext uri="{FF2B5EF4-FFF2-40B4-BE49-F238E27FC236}">
                <a16:creationId xmlns:a16="http://schemas.microsoft.com/office/drawing/2014/main" id="{15C25B7C-3211-4111-A9A0-C1EB27CF55C6}"/>
              </a:ext>
            </a:extLst>
          </xdr:cNvPr>
          <xdr:cNvSpPr/>
        </xdr:nvSpPr>
        <xdr:spPr>
          <a:xfrm>
            <a:off x="5652364" y="4097454"/>
            <a:ext cx="845954" cy="353267"/>
          </a:xfrm>
          <a:prstGeom prst="homePlat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4713F038-ABB2-47E9-95BD-CFF8DA47D490}"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7</a:t>
            </a:fld>
            <a:endParaRPr lang="en-CA" sz="1800" b="1">
              <a:solidFill>
                <a:schemeClr val="bg1"/>
              </a:solidFill>
              <a:effectLst/>
              <a:ea typeface="Calibri" panose="020F0502020204030204" pitchFamily="34" charset="0"/>
              <a:cs typeface="Times New Roman" panose="02020603050405020304" pitchFamily="18" charset="0"/>
            </a:endParaRPr>
          </a:p>
        </xdr:txBody>
      </xdr:sp>
    </xdr:grpSp>
    <xdr:clientData/>
  </xdr:twoCellAnchor>
  <xdr:twoCellAnchor>
    <xdr:from>
      <xdr:col>1</xdr:col>
      <xdr:colOff>412750</xdr:colOff>
      <xdr:row>9</xdr:row>
      <xdr:rowOff>50800</xdr:rowOff>
    </xdr:from>
    <xdr:to>
      <xdr:col>3</xdr:col>
      <xdr:colOff>304800</xdr:colOff>
      <xdr:row>10</xdr:row>
      <xdr:rowOff>38099</xdr:rowOff>
    </xdr:to>
    <xdr:sp macro="" textlink="">
      <xdr:nvSpPr>
        <xdr:cNvPr id="2" name="TextBox 1">
          <a:extLst>
            <a:ext uri="{FF2B5EF4-FFF2-40B4-BE49-F238E27FC236}">
              <a16:creationId xmlns:a16="http://schemas.microsoft.com/office/drawing/2014/main" id="{5851C3E9-6DFA-496C-AA90-4402C9B2977F}"/>
            </a:ext>
          </a:extLst>
        </xdr:cNvPr>
        <xdr:cNvSpPr txBox="1"/>
      </xdr:nvSpPr>
      <xdr:spPr>
        <a:xfrm>
          <a:off x="660400" y="1831975"/>
          <a:ext cx="1320800" cy="177799"/>
        </a:xfrm>
        <a:prstGeom prst="rect">
          <a:avLst/>
        </a:prstGeom>
        <a:solidFill>
          <a:schemeClr val="accen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b="1">
              <a:solidFill>
                <a:schemeClr val="bg1"/>
              </a:solidFill>
            </a:rPr>
            <a:t>2020-21 School Year</a:t>
          </a:r>
        </a:p>
      </xdr:txBody>
    </xdr:sp>
    <xdr:clientData/>
  </xdr:twoCellAnchor>
  <xdr:twoCellAnchor>
    <xdr:from>
      <xdr:col>7</xdr:col>
      <xdr:colOff>492124</xdr:colOff>
      <xdr:row>9</xdr:row>
      <xdr:rowOff>53975</xdr:rowOff>
    </xdr:from>
    <xdr:to>
      <xdr:col>9</xdr:col>
      <xdr:colOff>419099</xdr:colOff>
      <xdr:row>10</xdr:row>
      <xdr:rowOff>47625</xdr:rowOff>
    </xdr:to>
    <xdr:sp macro="" textlink="">
      <xdr:nvSpPr>
        <xdr:cNvPr id="44" name="TextBox 43">
          <a:extLst>
            <a:ext uri="{FF2B5EF4-FFF2-40B4-BE49-F238E27FC236}">
              <a16:creationId xmlns:a16="http://schemas.microsoft.com/office/drawing/2014/main" id="{436A1530-45ED-4A63-B777-F0A23FFCC0E0}"/>
            </a:ext>
          </a:extLst>
        </xdr:cNvPr>
        <xdr:cNvSpPr txBox="1"/>
      </xdr:nvSpPr>
      <xdr:spPr>
        <a:xfrm>
          <a:off x="5026024" y="1835150"/>
          <a:ext cx="1355725" cy="184150"/>
        </a:xfrm>
        <a:prstGeom prst="rect">
          <a:avLst/>
        </a:prstGeom>
        <a:solidFill>
          <a:srgbClr val="00B050"/>
        </a:solidFill>
        <a:ln w="9525" cmpd="sng">
          <a:solidFill>
            <a:schemeClr val="accent6">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b="1">
              <a:solidFill>
                <a:schemeClr val="bg1"/>
              </a:solidFill>
            </a:rPr>
            <a:t>2021-22 School Year</a:t>
          </a:r>
        </a:p>
      </xdr:txBody>
    </xdr:sp>
    <xdr:clientData/>
  </xdr:twoCellAnchor>
  <xdr:twoCellAnchor>
    <xdr:from>
      <xdr:col>1</xdr:col>
      <xdr:colOff>421922</xdr:colOff>
      <xdr:row>21</xdr:row>
      <xdr:rowOff>31751</xdr:rowOff>
    </xdr:from>
    <xdr:to>
      <xdr:col>13</xdr:col>
      <xdr:colOff>342900</xdr:colOff>
      <xdr:row>23</xdr:row>
      <xdr:rowOff>104775</xdr:rowOff>
    </xdr:to>
    <xdr:sp macro="" textlink="">
      <xdr:nvSpPr>
        <xdr:cNvPr id="36" name="Text Box 240">
          <a:extLst>
            <a:ext uri="{FF2B5EF4-FFF2-40B4-BE49-F238E27FC236}">
              <a16:creationId xmlns:a16="http://schemas.microsoft.com/office/drawing/2014/main" id="{1B9DE550-DDBF-4752-8F68-1E4D660508DB}"/>
            </a:ext>
          </a:extLst>
        </xdr:cNvPr>
        <xdr:cNvSpPr txBox="1"/>
      </xdr:nvSpPr>
      <xdr:spPr>
        <a:xfrm>
          <a:off x="669572" y="4098926"/>
          <a:ext cx="8493478" cy="45402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US" sz="1050" b="0">
              <a:solidFill>
                <a:schemeClr val="tx2">
                  <a:lumMod val="50000"/>
                </a:schemeClr>
              </a:solidFill>
              <a:effectLst/>
              <a:latin typeface="Calibri" panose="020F0502020204030204" pitchFamily="34" charset="0"/>
              <a:ea typeface="Century Gothic" panose="020B0502020202020204" pitchFamily="34" charset="0"/>
              <a:cs typeface="Calibri" panose="020F0502020204030204" pitchFamily="34" charset="0"/>
            </a:rPr>
            <a:t>Note: *This</a:t>
          </a:r>
          <a:r>
            <a:rPr lang="en-US" sz="1050" b="0" baseline="0">
              <a:solidFill>
                <a:schemeClr val="tx2">
                  <a:lumMod val="50000"/>
                </a:schemeClr>
              </a:solidFill>
              <a:effectLst/>
              <a:latin typeface="Calibri" panose="020F0502020204030204" pitchFamily="34" charset="0"/>
              <a:ea typeface="Century Gothic" panose="020B0502020202020204" pitchFamily="34" charset="0"/>
              <a:cs typeface="Calibri" panose="020F0502020204030204" pitchFamily="34" charset="0"/>
            </a:rPr>
            <a:t> includes includes spending from dedicated ventilation programs, federal-provincial funding, provincial renewal funding and supplemental funding from other board sources.</a:t>
          </a:r>
          <a:endParaRPr lang="en-CA" sz="10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4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rPr>
            <a:t> </a:t>
          </a:r>
          <a:endParaRPr lang="en-CA" sz="10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447675</xdr:colOff>
      <xdr:row>17</xdr:row>
      <xdr:rowOff>180975</xdr:rowOff>
    </xdr:from>
    <xdr:to>
      <xdr:col>2</xdr:col>
      <xdr:colOff>611546</xdr:colOff>
      <xdr:row>20</xdr:row>
      <xdr:rowOff>59742</xdr:rowOff>
    </xdr:to>
    <xdr:sp macro="" textlink="'4. Board Level Worksheet'!$C$22">
      <xdr:nvSpPr>
        <xdr:cNvPr id="34" name="Arrow: Chevron 226">
          <a:extLst>
            <a:ext uri="{FF2B5EF4-FFF2-40B4-BE49-F238E27FC236}">
              <a16:creationId xmlns:a16="http://schemas.microsoft.com/office/drawing/2014/main" id="{1BADF893-6C1C-4B73-8722-535CE8E3FCB0}"/>
            </a:ext>
          </a:extLst>
        </xdr:cNvPr>
        <xdr:cNvSpPr/>
      </xdr:nvSpPr>
      <xdr:spPr>
        <a:xfrm>
          <a:off x="704850" y="3505200"/>
          <a:ext cx="887771" cy="450267"/>
        </a:xfrm>
        <a:prstGeom prst="homePlate">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AC2AFE91-E269-4CC0-94B0-DD6743BFFE70}"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20</a:t>
          </a:fld>
          <a:endParaRPr lang="en-CA" sz="2400" b="1">
            <a:solidFill>
              <a:schemeClr val="bg1"/>
            </a:solidFill>
            <a:effectLst/>
            <a:ea typeface="Calibri" panose="020F0502020204030204" pitchFamily="34" charset="0"/>
            <a:cs typeface="Times New Roman" panose="02020603050405020304" pitchFamily="18" charset="0"/>
          </a:endParaRPr>
        </a:p>
      </xdr:txBody>
    </xdr:sp>
    <xdr:clientData/>
  </xdr:twoCellAnchor>
  <xdr:twoCellAnchor>
    <xdr:from>
      <xdr:col>2</xdr:col>
      <xdr:colOff>631848</xdr:colOff>
      <xdr:row>18</xdr:row>
      <xdr:rowOff>220</xdr:rowOff>
    </xdr:from>
    <xdr:to>
      <xdr:col>6</xdr:col>
      <xdr:colOff>708025</xdr:colOff>
      <xdr:row>20</xdr:row>
      <xdr:rowOff>34927</xdr:rowOff>
    </xdr:to>
    <xdr:sp macro="" textlink="">
      <xdr:nvSpPr>
        <xdr:cNvPr id="35" name="Text Box 2">
          <a:extLst>
            <a:ext uri="{FF2B5EF4-FFF2-40B4-BE49-F238E27FC236}">
              <a16:creationId xmlns:a16="http://schemas.microsoft.com/office/drawing/2014/main" id="{351C3844-55D9-4188-BA47-8F8464FBD65D}"/>
            </a:ext>
          </a:extLst>
        </xdr:cNvPr>
        <xdr:cNvSpPr txBox="1">
          <a:spLocks noChangeArrowheads="1"/>
        </xdr:cNvSpPr>
      </xdr:nvSpPr>
      <xdr:spPr bwMode="auto">
        <a:xfrm>
          <a:off x="1612923" y="3514945"/>
          <a:ext cx="2971777" cy="415707"/>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gn="l">
            <a:lnSpc>
              <a:spcPct val="107000"/>
            </a:lnSpc>
            <a:spcAft>
              <a:spcPts val="0"/>
            </a:spcAft>
          </a:pPr>
          <a:r>
            <a:rPr lang="en-US" sz="1200" b="1">
              <a:solidFill>
                <a:schemeClr val="tx1"/>
              </a:solidFill>
              <a:effectLst/>
              <a:latin typeface="Calibri" panose="020F0502020204030204" pitchFamily="34" charset="0"/>
              <a:ea typeface="Century Gothic" panose="020B0502020202020204" pitchFamily="34" charset="0"/>
              <a:cs typeface="Calibri" panose="020F0502020204030204" pitchFamily="34" charset="0"/>
            </a:rPr>
            <a:t>Schools</a:t>
          </a:r>
          <a:r>
            <a:rPr lang="en-US" sz="1200" b="1" baseline="0">
              <a:solidFill>
                <a:schemeClr val="tx1"/>
              </a:solidFill>
              <a:effectLst/>
              <a:latin typeface="Calibri" panose="020F0502020204030204" pitchFamily="34" charset="0"/>
              <a:ea typeface="Century Gothic" panose="020B0502020202020204" pitchFamily="34" charset="0"/>
              <a:cs typeface="Calibri" panose="020F0502020204030204" pitchFamily="34" charset="0"/>
            </a:rPr>
            <a:t> receiving an investment, </a:t>
          </a:r>
          <a:r>
            <a:rPr lang="en-US" sz="1200" b="1" baseline="0">
              <a:effectLst/>
              <a:latin typeface="+mn-lt"/>
              <a:ea typeface="+mn-ea"/>
              <a:cs typeface="+mn-cs"/>
            </a:rPr>
            <a:t>which </a:t>
          </a:r>
        </a:p>
        <a:p>
          <a:pPr algn="l">
            <a:lnSpc>
              <a:spcPct val="107000"/>
            </a:lnSpc>
            <a:spcAft>
              <a:spcPts val="0"/>
            </a:spcAft>
          </a:pPr>
          <a:r>
            <a:rPr lang="en-US" sz="1200" b="1" baseline="0">
              <a:effectLst/>
              <a:latin typeface="+mn-lt"/>
              <a:ea typeface="+mn-ea"/>
              <a:cs typeface="+mn-cs"/>
            </a:rPr>
            <a:t>is </a:t>
          </a:r>
          <a:r>
            <a:rPr lang="en-US" sz="1200" b="1" baseline="0">
              <a:solidFill>
                <a:srgbClr val="FF0000"/>
              </a:solidFill>
              <a:effectLst/>
              <a:latin typeface="+mn-lt"/>
              <a:ea typeface="+mn-ea"/>
              <a:cs typeface="+mn-cs"/>
            </a:rPr>
            <a:t>  </a:t>
          </a:r>
          <a:r>
            <a:rPr lang="en-US" sz="1200" b="1" baseline="0">
              <a:effectLst/>
              <a:latin typeface="+mn-lt"/>
              <a:ea typeface="+mn-ea"/>
              <a:cs typeface="+mn-cs"/>
            </a:rPr>
            <a:t>          of total schools in the board.</a:t>
          </a:r>
          <a:endParaRPr lang="en-CA" sz="1200" b="1">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560895</xdr:colOff>
      <xdr:row>17</xdr:row>
      <xdr:rowOff>122760</xdr:rowOff>
    </xdr:from>
    <xdr:to>
      <xdr:col>13</xdr:col>
      <xdr:colOff>438149</xdr:colOff>
      <xdr:row>20</xdr:row>
      <xdr:rowOff>60728</xdr:rowOff>
    </xdr:to>
    <xdr:grpSp>
      <xdr:nvGrpSpPr>
        <xdr:cNvPr id="37" name="Group 36">
          <a:extLst>
            <a:ext uri="{FF2B5EF4-FFF2-40B4-BE49-F238E27FC236}">
              <a16:creationId xmlns:a16="http://schemas.microsoft.com/office/drawing/2014/main" id="{B8E14B34-4FB8-4E05-85AB-0DCAC7B202B3}"/>
            </a:ext>
            <a:ext uri="{C183D7F6-B498-43B3-948B-1728B52AA6E4}">
              <adec:decorative xmlns:adec="http://schemas.microsoft.com/office/drawing/2017/decorative" val="1"/>
            </a:ext>
          </a:extLst>
        </xdr:cNvPr>
        <xdr:cNvGrpSpPr/>
      </xdr:nvGrpSpPr>
      <xdr:grpSpPr>
        <a:xfrm>
          <a:off x="5494845" y="3313635"/>
          <a:ext cx="4534979" cy="480893"/>
          <a:chOff x="5672081" y="3746455"/>
          <a:chExt cx="4022470" cy="404665"/>
        </a:xfrm>
      </xdr:grpSpPr>
      <xdr:sp macro="" textlink="">
        <xdr:nvSpPr>
          <xdr:cNvPr id="38" name="Text Box 2">
            <a:extLst>
              <a:ext uri="{FF2B5EF4-FFF2-40B4-BE49-F238E27FC236}">
                <a16:creationId xmlns:a16="http://schemas.microsoft.com/office/drawing/2014/main" id="{468A5080-F333-4346-9078-AB73AFA27281}"/>
              </a:ext>
            </a:extLst>
          </xdr:cNvPr>
          <xdr:cNvSpPr txBox="1">
            <a:spLocks noChangeArrowheads="1"/>
          </xdr:cNvSpPr>
        </xdr:nvSpPr>
        <xdr:spPr bwMode="auto">
          <a:xfrm>
            <a:off x="6520820" y="3746455"/>
            <a:ext cx="3173731" cy="337156"/>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nSpc>
                <a:spcPct val="107000"/>
              </a:lnSpc>
              <a:spcAft>
                <a:spcPts val="0"/>
              </a:spcAft>
            </a:pPr>
            <a:r>
              <a:rPr lang="en-US" sz="1200" b="1">
                <a:effectLst/>
                <a:latin typeface="Calibri" panose="020F0502020204030204" pitchFamily="34" charset="0"/>
                <a:ea typeface="Century Gothic" panose="020B0502020202020204" pitchFamily="34" charset="0"/>
                <a:cs typeface="Calibri" panose="020F0502020204030204" pitchFamily="34" charset="0"/>
              </a:rPr>
              <a:t>Schools </a:t>
            </a:r>
            <a:r>
              <a:rPr lang="en-US" sz="1200" b="1" baseline="0">
                <a:effectLst/>
                <a:latin typeface="Calibri" panose="020F0502020204030204" pitchFamily="34" charset="0"/>
                <a:ea typeface="Century Gothic" panose="020B0502020202020204" pitchFamily="34" charset="0"/>
                <a:cs typeface="Calibri" panose="020F0502020204030204" pitchFamily="34" charset="0"/>
              </a:rPr>
              <a:t>to receive an investment</a:t>
            </a:r>
            <a:r>
              <a:rPr lang="en-US" sz="1200" b="1" baseline="0">
                <a:effectLst/>
                <a:latin typeface="+mn-lt"/>
                <a:ea typeface="+mn-ea"/>
                <a:cs typeface="+mn-cs"/>
              </a:rPr>
              <a:t>, which </a:t>
            </a:r>
          </a:p>
          <a:p>
            <a:pPr>
              <a:lnSpc>
                <a:spcPct val="107000"/>
              </a:lnSpc>
              <a:spcAft>
                <a:spcPts val="0"/>
              </a:spcAft>
            </a:pPr>
            <a:r>
              <a:rPr lang="en-US" sz="1200" b="1" baseline="0">
                <a:effectLst/>
                <a:latin typeface="+mn-lt"/>
                <a:ea typeface="+mn-ea"/>
                <a:cs typeface="+mn-cs"/>
              </a:rPr>
              <a:t>is              of total schools in the board.</a:t>
            </a:r>
            <a:endParaRPr lang="en-CA" sz="12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25">
        <xdr:nvSpPr>
          <xdr:cNvPr id="39" name="Arrow: Chevron 226">
            <a:extLst>
              <a:ext uri="{FF2B5EF4-FFF2-40B4-BE49-F238E27FC236}">
                <a16:creationId xmlns:a16="http://schemas.microsoft.com/office/drawing/2014/main" id="{5607A22B-7FA4-4686-A33B-C21DF10EBFDF}"/>
              </a:ext>
            </a:extLst>
          </xdr:cNvPr>
          <xdr:cNvSpPr/>
        </xdr:nvSpPr>
        <xdr:spPr>
          <a:xfrm>
            <a:off x="5672081" y="3796737"/>
            <a:ext cx="847580" cy="354383"/>
          </a:xfrm>
          <a:prstGeom prst="homePlat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E2EDB8FE-D3CC-4F2D-9C4A-205A519C1BF1}"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7</a:t>
            </a:fld>
            <a:endParaRPr lang="en-CA" sz="1800" b="1">
              <a:solidFill>
                <a:schemeClr val="bg1"/>
              </a:solidFill>
              <a:effectLst/>
              <a:ea typeface="Calibri" panose="020F0502020204030204" pitchFamily="34" charset="0"/>
              <a:cs typeface="Times New Roman" panose="02020603050405020304" pitchFamily="18" charset="0"/>
            </a:endParaRPr>
          </a:p>
        </xdr:txBody>
      </xdr:sp>
    </xdr:grpSp>
    <xdr:clientData/>
  </xdr:twoCellAnchor>
  <xdr:twoCellAnchor>
    <xdr:from>
      <xdr:col>2</xdr:col>
      <xdr:colOff>613364</xdr:colOff>
      <xdr:row>25</xdr:row>
      <xdr:rowOff>171623</xdr:rowOff>
    </xdr:from>
    <xdr:to>
      <xdr:col>12</xdr:col>
      <xdr:colOff>4</xdr:colOff>
      <xdr:row>29</xdr:row>
      <xdr:rowOff>23283</xdr:rowOff>
    </xdr:to>
    <xdr:grpSp>
      <xdr:nvGrpSpPr>
        <xdr:cNvPr id="14" name="Group 13">
          <a:extLst>
            <a:ext uri="{FF2B5EF4-FFF2-40B4-BE49-F238E27FC236}">
              <a16:creationId xmlns:a16="http://schemas.microsoft.com/office/drawing/2014/main" id="{ECBEA2AA-B682-467E-A341-47A08F6D280C}"/>
            </a:ext>
          </a:extLst>
        </xdr:cNvPr>
        <xdr:cNvGrpSpPr/>
      </xdr:nvGrpSpPr>
      <xdr:grpSpPr>
        <a:xfrm>
          <a:off x="1665877" y="4810298"/>
          <a:ext cx="7149515" cy="575560"/>
          <a:chOff x="1461058" y="4747758"/>
          <a:chExt cx="6897102" cy="658639"/>
        </a:xfrm>
      </xdr:grpSpPr>
      <xdr:sp macro="" textlink="">
        <xdr:nvSpPr>
          <xdr:cNvPr id="54" name="Rectangle 53">
            <a:extLst>
              <a:ext uri="{FF2B5EF4-FFF2-40B4-BE49-F238E27FC236}">
                <a16:creationId xmlns:a16="http://schemas.microsoft.com/office/drawing/2014/main" id="{85117B9D-3137-4504-8D00-A37C6FA1730F}"/>
              </a:ext>
            </a:extLst>
          </xdr:cNvPr>
          <xdr:cNvSpPr/>
        </xdr:nvSpPr>
        <xdr:spPr>
          <a:xfrm>
            <a:off x="1461058" y="4747758"/>
            <a:ext cx="6897102" cy="65863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107000"/>
              </a:lnSpc>
              <a:spcAft>
                <a:spcPts val="0"/>
              </a:spcAft>
            </a:pPr>
            <a:r>
              <a:rPr lang="en-US" sz="1400" b="1" cap="all">
                <a:effectLst/>
                <a:ea typeface="Calibri" panose="020F0502020204030204" pitchFamily="34" charset="0"/>
                <a:cs typeface="Times New Roman" panose="02020603050405020304" pitchFamily="18" charset="0"/>
              </a:rPr>
              <a:t>    sTANDALONE HEPA FILTER UNITs dEPLOYED          |  </a:t>
            </a:r>
            <a:endParaRPr lang="en-CA" sz="1100">
              <a:effectLst/>
              <a:ea typeface="Calibri" panose="020F0502020204030204" pitchFamily="34" charset="0"/>
              <a:cs typeface="Times New Roman" panose="02020603050405020304" pitchFamily="18" charset="0"/>
            </a:endParaRPr>
          </a:p>
        </xdr:txBody>
      </xdr:sp>
      <xdr:sp macro="" textlink="'4. Board Level Worksheet'!$C$28">
        <xdr:nvSpPr>
          <xdr:cNvPr id="10" name="TextBox 9">
            <a:extLst>
              <a:ext uri="{FF2B5EF4-FFF2-40B4-BE49-F238E27FC236}">
                <a16:creationId xmlns:a16="http://schemas.microsoft.com/office/drawing/2014/main" id="{274038C3-43AD-48A3-9233-57A12039D9A2}"/>
              </a:ext>
            </a:extLst>
          </xdr:cNvPr>
          <xdr:cNvSpPr txBox="1"/>
        </xdr:nvSpPr>
        <xdr:spPr>
          <a:xfrm>
            <a:off x="6395284" y="4911985"/>
            <a:ext cx="1039813" cy="341313"/>
          </a:xfrm>
          <a:prstGeom prst="rect">
            <a:avLst/>
          </a:prstGeom>
          <a:solidFill>
            <a:schemeClr val="accent1">
              <a:lumMod val="5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EFE2284-821D-4DAE-847E-22425199555D}" type="TxLink">
              <a:rPr lang="en-US" sz="1400" b="1" i="0" u="none" strike="noStrike">
                <a:solidFill>
                  <a:schemeClr val="bg1"/>
                </a:solidFill>
                <a:latin typeface="Calibri"/>
                <a:cs typeface="Calibri"/>
              </a:rPr>
              <a:pPr algn="ctr"/>
              <a:t>207</a:t>
            </a:fld>
            <a:endParaRPr lang="en-CA" sz="1400" b="1">
              <a:solidFill>
                <a:schemeClr val="bg1"/>
              </a:solidFill>
            </a:endParaRPr>
          </a:p>
        </xdr:txBody>
      </xdr:sp>
    </xdr:grpSp>
    <xdr:clientData/>
  </xdr:twoCellAnchor>
  <xdr:twoCellAnchor>
    <xdr:from>
      <xdr:col>3</xdr:col>
      <xdr:colOff>9525</xdr:colOff>
      <xdr:row>19</xdr:row>
      <xdr:rowOff>14288</xdr:rowOff>
    </xdr:from>
    <xdr:to>
      <xdr:col>3</xdr:col>
      <xdr:colOff>519112</xdr:colOff>
      <xdr:row>20</xdr:row>
      <xdr:rowOff>71438</xdr:rowOff>
    </xdr:to>
    <xdr:sp macro="" textlink="'4. Board Level Worksheet'!C23">
      <xdr:nvSpPr>
        <xdr:cNvPr id="16" name="TextBox 15">
          <a:extLst>
            <a:ext uri="{FF2B5EF4-FFF2-40B4-BE49-F238E27FC236}">
              <a16:creationId xmlns:a16="http://schemas.microsoft.com/office/drawing/2014/main" id="{E19BD255-E77F-4690-8F15-6DAFB13775CD}"/>
            </a:ext>
          </a:extLst>
        </xdr:cNvPr>
        <xdr:cNvSpPr txBox="1"/>
      </xdr:nvSpPr>
      <xdr:spPr>
        <a:xfrm>
          <a:off x="1838325" y="3567113"/>
          <a:ext cx="509587" cy="238125"/>
        </a:xfrm>
        <a:prstGeom prst="rect">
          <a:avLst/>
        </a:prstGeom>
        <a:solidFill>
          <a:srgbClr val="F2F2F2">
            <a:alpha val="0"/>
          </a:srgbClr>
        </a:solidFill>
        <a:ln w="9525" cmpd="sng">
          <a:solidFill>
            <a:srgbClr val="F2F2F2">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C92DA96-5A5A-48BC-9894-173D27B9A9D9}" type="TxLink">
            <a:rPr lang="en-US" sz="1200" b="1" i="0" u="none" strike="noStrike">
              <a:solidFill>
                <a:schemeClr val="tx1"/>
              </a:solidFill>
              <a:latin typeface="Calibri"/>
              <a:cs typeface="Calibri"/>
            </a:rPr>
            <a:pPr algn="ctr"/>
            <a:t>53%</a:t>
          </a:fld>
          <a:endParaRPr lang="en-CA" sz="1200" b="1">
            <a:solidFill>
              <a:schemeClr val="tx1"/>
            </a:solidFill>
          </a:endParaRPr>
        </a:p>
      </xdr:txBody>
    </xdr:sp>
    <xdr:clientData/>
  </xdr:twoCellAnchor>
  <xdr:twoCellAnchor>
    <xdr:from>
      <xdr:col>9</xdr:col>
      <xdr:colOff>158749</xdr:colOff>
      <xdr:row>18</xdr:row>
      <xdr:rowOff>106362</xdr:rowOff>
    </xdr:from>
    <xdr:to>
      <xdr:col>9</xdr:col>
      <xdr:colOff>752474</xdr:colOff>
      <xdr:row>20</xdr:row>
      <xdr:rowOff>4762</xdr:rowOff>
    </xdr:to>
    <xdr:sp macro="" textlink="'4. Board Level Worksheet'!C26">
      <xdr:nvSpPr>
        <xdr:cNvPr id="20" name="TextBox 19">
          <a:extLst>
            <a:ext uri="{FF2B5EF4-FFF2-40B4-BE49-F238E27FC236}">
              <a16:creationId xmlns:a16="http://schemas.microsoft.com/office/drawing/2014/main" id="{496EC206-8844-46C9-B9AC-B1A87FCBBC74}"/>
            </a:ext>
          </a:extLst>
        </xdr:cNvPr>
        <xdr:cNvSpPr txBox="1"/>
      </xdr:nvSpPr>
      <xdr:spPr>
        <a:xfrm>
          <a:off x="6645274" y="3478212"/>
          <a:ext cx="593725" cy="260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DE242D65-B17D-41CE-8377-6C83FD60B3C4}" type="TxLink">
            <a:rPr lang="en-US" sz="1200" b="1" i="0" u="none" strike="noStrike">
              <a:solidFill>
                <a:schemeClr val="tx1"/>
              </a:solidFill>
              <a:latin typeface="Calibri"/>
              <a:cs typeface="Calibri"/>
            </a:rPr>
            <a:pPr algn="l"/>
            <a:t>18%</a:t>
          </a:fld>
          <a:endParaRPr lang="en-CA" sz="12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104775</xdr:colOff>
      <xdr:row>0</xdr:row>
      <xdr:rowOff>95250</xdr:rowOff>
    </xdr:from>
    <xdr:to>
      <xdr:col>6</xdr:col>
      <xdr:colOff>152400</xdr:colOff>
      <xdr:row>16</xdr:row>
      <xdr:rowOff>104774</xdr:rowOff>
    </xdr:to>
    <xdr:sp macro="" textlink="">
      <xdr:nvSpPr>
        <xdr:cNvPr id="10" name="Rectangle 9">
          <a:extLst>
            <a:ext uri="{FF2B5EF4-FFF2-40B4-BE49-F238E27FC236}">
              <a16:creationId xmlns:a16="http://schemas.microsoft.com/office/drawing/2014/main" id="{8183513C-BBEC-4DA9-9E31-FF7DCC3FE51C}"/>
            </a:ext>
            <a:ext uri="{C183D7F6-B498-43B3-948B-1728B52AA6E4}">
              <adec:decorative xmlns:adec="http://schemas.microsoft.com/office/drawing/2017/decorative" val="1"/>
            </a:ext>
          </a:extLst>
        </xdr:cNvPr>
        <xdr:cNvSpPr/>
      </xdr:nvSpPr>
      <xdr:spPr>
        <a:xfrm>
          <a:off x="104775" y="95250"/>
          <a:ext cx="7219950" cy="4686299"/>
        </a:xfrm>
        <a:prstGeom prst="rect">
          <a:avLst/>
        </a:prstGeom>
        <a:noFill/>
        <a:ln w="22225" cap="rnd">
          <a:solidFill>
            <a:schemeClr val="bg1">
              <a:lumMod val="85000"/>
            </a:schemeClr>
          </a:solidFill>
          <a:rou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15875</xdr:colOff>
      <xdr:row>1</xdr:row>
      <xdr:rowOff>9525</xdr:rowOff>
    </xdr:from>
    <xdr:to>
      <xdr:col>1</xdr:col>
      <xdr:colOff>676275</xdr:colOff>
      <xdr:row>1</xdr:row>
      <xdr:rowOff>638175</xdr:rowOff>
    </xdr:to>
    <xdr:pic>
      <xdr:nvPicPr>
        <xdr:cNvPr id="3" name="Graphic 2" descr="Checklist">
          <a:extLst>
            <a:ext uri="{FF2B5EF4-FFF2-40B4-BE49-F238E27FC236}">
              <a16:creationId xmlns:a16="http://schemas.microsoft.com/office/drawing/2014/main" id="{61CD1A9E-11A0-45E6-80A4-A28D195205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63525" y="200025"/>
          <a:ext cx="660400" cy="622300"/>
        </a:xfrm>
        <a:prstGeom prst="rect">
          <a:avLst/>
        </a:prstGeom>
      </xdr:spPr>
    </xdr:pic>
    <xdr:clientData/>
  </xdr:twoCellAnchor>
  <xdr:twoCellAnchor>
    <xdr:from>
      <xdr:col>2</xdr:col>
      <xdr:colOff>123825</xdr:colOff>
      <xdr:row>1</xdr:row>
      <xdr:rowOff>279399</xdr:rowOff>
    </xdr:from>
    <xdr:to>
      <xdr:col>4</xdr:col>
      <xdr:colOff>1308100</xdr:colOff>
      <xdr:row>2</xdr:row>
      <xdr:rowOff>4490</xdr:rowOff>
    </xdr:to>
    <xdr:sp macro="" textlink="">
      <xdr:nvSpPr>
        <xdr:cNvPr id="4" name="TextBox 3">
          <a:extLst>
            <a:ext uri="{FF2B5EF4-FFF2-40B4-BE49-F238E27FC236}">
              <a16:creationId xmlns:a16="http://schemas.microsoft.com/office/drawing/2014/main" id="{D76E5038-519B-4B43-822B-8F4766C1C521}"/>
            </a:ext>
          </a:extLst>
        </xdr:cNvPr>
        <xdr:cNvSpPr txBox="1"/>
      </xdr:nvSpPr>
      <xdr:spPr>
        <a:xfrm>
          <a:off x="1419225" y="479424"/>
          <a:ext cx="4679950" cy="391841"/>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cap="small" baseline="0">
              <a:solidFill>
                <a:schemeClr val="bg1"/>
              </a:solidFill>
            </a:rPr>
            <a:t>School Board Ventilation Profile</a:t>
          </a:r>
        </a:p>
      </xdr:txBody>
    </xdr:sp>
    <xdr:clientData/>
  </xdr:twoCellAnchor>
  <xdr:twoCellAnchor>
    <xdr:from>
      <xdr:col>2</xdr:col>
      <xdr:colOff>514350</xdr:colOff>
      <xdr:row>1</xdr:row>
      <xdr:rowOff>28575</xdr:rowOff>
    </xdr:from>
    <xdr:to>
      <xdr:col>4</xdr:col>
      <xdr:colOff>1060450</xdr:colOff>
      <xdr:row>1</xdr:row>
      <xdr:rowOff>396875</xdr:rowOff>
    </xdr:to>
    <xdr:sp macro="" textlink="'4. Board Level Worksheet'!$C$5">
      <xdr:nvSpPr>
        <xdr:cNvPr id="5" name="TextBox 4">
          <a:extLst>
            <a:ext uri="{FF2B5EF4-FFF2-40B4-BE49-F238E27FC236}">
              <a16:creationId xmlns:a16="http://schemas.microsoft.com/office/drawing/2014/main" id="{01FCED3A-EF20-470A-96E3-7260A16DB071}"/>
            </a:ext>
          </a:extLst>
        </xdr:cNvPr>
        <xdr:cNvSpPr txBox="1"/>
      </xdr:nvSpPr>
      <xdr:spPr>
        <a:xfrm>
          <a:off x="1860550" y="212725"/>
          <a:ext cx="4197350" cy="368300"/>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9EBB368-29F2-4FF1-BEF1-6FC6FF215E0C}" type="TxLink">
            <a:rPr lang="en-US" sz="1800" b="1" i="0" u="none" strike="noStrike" cap="small" baseline="0">
              <a:solidFill>
                <a:schemeClr val="bg1"/>
              </a:solidFill>
              <a:latin typeface="Calibri"/>
              <a:cs typeface="Calibri"/>
            </a:rPr>
            <a:pPr algn="ctr"/>
            <a:t>Catholic DSB of Eastern Ontario</a:t>
          </a:fld>
          <a:endParaRPr lang="en-CA" sz="1800" b="1" cap="small" baseline="0">
            <a:solidFill>
              <a:schemeClr val="bg1"/>
            </a:solidFill>
          </a:endParaRPr>
        </a:p>
      </xdr:txBody>
    </xdr:sp>
    <xdr:clientData/>
  </xdr:twoCellAnchor>
  <xdr:twoCellAnchor>
    <xdr:from>
      <xdr:col>2</xdr:col>
      <xdr:colOff>876299</xdr:colOff>
      <xdr:row>2</xdr:row>
      <xdr:rowOff>133350</xdr:rowOff>
    </xdr:from>
    <xdr:to>
      <xdr:col>3</xdr:col>
      <xdr:colOff>1504949</xdr:colOff>
      <xdr:row>3</xdr:row>
      <xdr:rowOff>114300</xdr:rowOff>
    </xdr:to>
    <xdr:sp macro="" textlink="">
      <xdr:nvSpPr>
        <xdr:cNvPr id="2" name="TextBox 1">
          <a:extLst>
            <a:ext uri="{FF2B5EF4-FFF2-40B4-BE49-F238E27FC236}">
              <a16:creationId xmlns:a16="http://schemas.microsoft.com/office/drawing/2014/main" id="{6D750C2A-DA37-43D3-A196-888EFBDF3B6D}"/>
            </a:ext>
          </a:extLst>
        </xdr:cNvPr>
        <xdr:cNvSpPr txBox="1"/>
      </xdr:nvSpPr>
      <xdr:spPr>
        <a:xfrm>
          <a:off x="2162174" y="990600"/>
          <a:ext cx="16668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solidFill>
                <a:srgbClr val="C00000"/>
              </a:solidFill>
            </a:rPr>
            <a:t>Select your school here</a:t>
          </a:r>
        </a:p>
      </xdr:txBody>
    </xdr:sp>
    <xdr:clientData/>
  </xdr:twoCellAnchor>
</xdr:wsDr>
</file>

<file path=xl/persons/person.xml><?xml version="1.0" encoding="utf-8"?>
<personList xmlns="http://schemas.microsoft.com/office/spreadsheetml/2018/threadedcomments" xmlns:x="http://schemas.openxmlformats.org/spreadsheetml/2006/main">
  <person displayName="Shawna Weagle" id="{C3ADBE53-B4E1-48FE-AE74-2B628B7267A7}" userId="Shawna.Weagle@cdsbeo.on.ca" providerId="PeoplePicker"/>
  <person displayName="Dan Tackaberry" id="{749965B3-FC34-421C-A884-BB518BAC6634}" userId="Dan.Tackaberry@cdsbeo.on.ca" providerId="PeoplePicker"/>
  <person displayName="Royal Metcalfe" id="{DDCC39FD-2266-4CE1-86A2-819EA1D63D67}" userId="Royal.Metcalfe@cdsbeo.on.ca" providerId="PeoplePicker"/>
  <person displayName="Ashley Hutchinson" id="{4CA2FD9F-D9DE-42C7-A4F9-62E70EB98365}" userId="Ashley.Hutchinson@cdsbeo.on.ca" providerId="PeoplePicker"/>
  <person displayName="Dan Tackaberry" id="{4E8E49C6-8A88-45A7-981D-A65F82CAE908}" userId="S::Dan.Tackaberry@cdsbeo.on.ca::551c686a-2504-49ee-97e9-19f0a39070a0" providerId="AD"/>
  <person displayName="Ashley Hutchinson" id="{E9F23FAA-8428-485A-BB7E-7E8884110BFD}" userId="S::Ashley.Hutchinson@cdsbeo.on.ca::2f69c234-f2c6-49d8-844b-0c90e7f7d98f" providerId="AD"/>
  <person displayName="Ashley Hutchinson" id="{EF431FF2-ADD0-47C6-B1D3-5FDB5241D1DF}" userId="S::ashley.hutchinson@cdsbeo.on.ca::2f69c234-f2c6-49d8-844b-0c90e7f7d98f"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shley Hutchinson" refreshedDate="44441.725096527778" createdVersion="7" refreshedVersion="7" minRefreshableVersion="3" recordCount="144" xr:uid="{D5DE9EDE-3F65-4769-8173-36216529999C}">
  <cacheSource type="worksheet">
    <worksheetSource ref="A1:T146" sheet="supporting docs"/>
  </cacheSource>
  <cacheFields count="22">
    <cacheField name="School" numFmtId="0">
      <sharedItems count="44">
        <s v="Bishop Macdonell"/>
        <s v="Holy Cross"/>
        <s v="Holy Name of Mary"/>
        <s v="Holy Trinity CSS"/>
        <s v="Iona Academy"/>
        <s v="J. L. Jordan"/>
        <s v="Mother Teresa"/>
        <s v="Notre Dame CHS"/>
        <s v="Our Lady of Good Counsel"/>
        <s v="Pope John Paul"/>
        <s v="Pope John Paul "/>
        <s v="Sacred Heart - Cornwall"/>
        <s v="Sacred Heart of Jesus Catholic School"/>
        <s v="St. Andrew’s Catholic School"/>
        <s v="St. Andrew's"/>
        <s v="St. Anne"/>
        <s v="St. Edward"/>
        <s v="St. Finnan's"/>
        <s v="St. Francis Brockville"/>
        <s v="St. Francis de Sales CES"/>
        <s v="St. Francis Xavier - Brockville"/>
        <s v="St. Francix Xavier CHS"/>
        <s v="St. Gregory"/>
        <s v="St. Joesph CHS"/>
        <s v="St. John Bosco"/>
        <s v="St. John CHS"/>
        <s v="St. John Elementary"/>
        <s v="St. Joseph - Gananoque"/>
        <s v="St. Joseph - Toledo"/>
        <s v="St. Joseph CHS "/>
        <s v="St. Joseph CSS"/>
        <s v="St. Jude"/>
        <s v="St. Luke CHS"/>
        <s v="St. Mark"/>
        <s v="St. Mary - Carleton Place"/>
        <s v="St. Mary - St. Cecilia"/>
        <s v="St. Mary Chesterville"/>
        <s v="St. Mary CHS"/>
        <s v="St. Matthew CSS"/>
        <s v="St. Michael CHS"/>
        <s v="St. Patrick"/>
        <s v="St. Peter"/>
        <s v="St. Thomas Aquinas CHS"/>
        <s v="Various Schools"/>
      </sharedItems>
    </cacheField>
    <cacheField name="Project" numFmtId="0">
      <sharedItems longText="1"/>
    </cacheField>
    <cacheField name="Year" numFmtId="49">
      <sharedItems count="4">
        <s v="2020-21"/>
        <s v="2021-22"/>
        <s v="2021-2022" u="1"/>
        <s v="2020-2021" u="1"/>
      </sharedItems>
    </cacheField>
    <cacheField name="Category" numFmtId="0">
      <sharedItems containsBlank="1" count="10">
        <s v="HEPA Air Filters"/>
        <s v="HVAC Upgrades"/>
        <s v="Building Automation System"/>
        <s v="Monthly Mechanical Inspection"/>
        <s v="RTU Replacement"/>
        <s v="MERV 13 HVAC Filter"/>
        <s v="Inspections"/>
        <m/>
        <s v="HVAC Inspections &amp; Optimization"/>
        <s v="Filters"/>
      </sharedItems>
    </cacheField>
    <cacheField name="HEPPA Units" numFmtId="0">
      <sharedItems containsString="0" containsBlank="1" containsNumber="1" containsInteger="1" minValue="1" maxValue="15"/>
    </cacheField>
    <cacheField name="# of RTU Units Added" numFmtId="166">
      <sharedItems containsString="0" containsBlank="1" containsNumber="1" containsInteger="1" minValue="2" maxValue="5"/>
    </cacheField>
    <cacheField name="# of RTU Units Replaced" numFmtId="166">
      <sharedItems containsString="0" containsBlank="1" containsNumber="1" containsInteger="1" minValue="1" maxValue="10"/>
    </cacheField>
    <cacheField name="2020-2021 SR" numFmtId="0">
      <sharedItems containsString="0" containsBlank="1" containsNumber="1" minValue="11500" maxValue="143432.61956800002"/>
    </cacheField>
    <cacheField name="2020-2021 SCI" numFmtId="169">
      <sharedItems containsString="0" containsBlank="1" containsNumber="1" minValue="2308.8200000000002" maxValue="476265.69"/>
    </cacheField>
    <cacheField name="2020-2021 CVRIS (F46)" numFmtId="169">
      <sharedItems containsString="0" containsBlank="1" containsNumber="1" minValue="62041.768000000004" maxValue="938850.4"/>
    </cacheField>
    <cacheField name="2020-2021 CAIF (F47)" numFmtId="169">
      <sharedItems containsString="0" containsBlank="1" containsNumber="1" minValue="151974.46" maxValue="151974.46"/>
    </cacheField>
    <cacheField name="Federal Air Quality cc3171" numFmtId="169">
      <sharedItems containsString="0" containsBlank="1" containsNumber="1" minValue="158.34800000000004" maxValue="109423.57600000002"/>
    </cacheField>
    <cacheField name="Federal Air Quality cc3187" numFmtId="169">
      <sharedItems containsString="0" containsBlank="1" containsNumber="1" minValue="306.48" maxValue="215495.65"/>
    </cacheField>
    <cacheField name="Board Funded 2020-2021" numFmtId="169">
      <sharedItems containsString="0" containsBlank="1" containsNumber="1" minValue="33979.07" maxValue="33979.07"/>
    </cacheField>
    <cacheField name="2020-2021 HEPA Funding" numFmtId="0">
      <sharedItems containsString="0" containsBlank="1" containsNumber="1" minValue="1363.636363636364" maxValue="10227.27272727273"/>
    </cacheField>
    <cacheField name="2020-2021 HEPA Funding2" numFmtId="169">
      <sharedItems containsString="0" containsBlank="1" containsNumber="1" containsInteger="1" minValue="1988" maxValue="135258"/>
    </cacheField>
    <cacheField name="2021-2022 Filter Funding" numFmtId="169">
      <sharedItems containsString="0" containsBlank="1" containsNumber="1" containsInteger="1" minValue="192184" maxValue="192184"/>
    </cacheField>
    <cacheField name="2021-2022 CVRIS (F46)" numFmtId="169">
      <sharedItems containsString="0" containsBlank="1" containsNumber="1" containsInteger="1" minValue="326809" maxValue="326809"/>
    </cacheField>
    <cacheField name="2021-2022 SCI" numFmtId="0">
      <sharedItems containsString="0" containsBlank="1" containsNumber="1" containsInteger="1" minValue="50000" maxValue="400000"/>
    </cacheField>
    <cacheField name="Budget Code" numFmtId="0">
      <sharedItems containsBlank="1"/>
    </cacheField>
    <cacheField name="Total 20-21 Ventilation Spend" numFmtId="0" formula="'2020-2021 SR'+'2020-2021 SCI'+'2020-2021 CVRIS (F46)'+'2020-2021 CAIF (F47)'+'Federal Air Quality cc3171'+'Federal Air Quality cc3187'" databaseField="0"/>
    <cacheField name="Total 21-22 Ventilation Spend" numFmtId="0" formula="#NAME? +#NAME? +'2021-2022 Filter Funding'+'2021-2022 CVRIS (F46)'+'2021-2022 SCI'"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4">
  <r>
    <x v="0"/>
    <s v="HEPA Air Filters - PO67565"/>
    <x v="0"/>
    <x v="0"/>
    <n v="15"/>
    <m/>
    <m/>
    <m/>
    <m/>
    <m/>
    <m/>
    <m/>
    <m/>
    <m/>
    <n v="10227.27272727273"/>
    <m/>
    <m/>
    <m/>
    <m/>
    <m/>
  </r>
  <r>
    <x v="0"/>
    <s v="Addition of A/C (RTU/HVAC) and new lighting throughout the school - Phase I - Contractor                                                                                                                           Final Phase of Locker removal 2021 - RFQ Closed awaiting approval - Add to the RTU/HVAC-New lighting project"/>
    <x v="0"/>
    <x v="1"/>
    <m/>
    <n v="5"/>
    <m/>
    <n v="143432.61956800002"/>
    <m/>
    <n v="699719.13481600001"/>
    <m/>
    <m/>
    <m/>
    <m/>
    <m/>
    <m/>
    <m/>
    <m/>
    <m/>
    <s v="46-000-654-0000-1-40 (HVAC)_x000a_42-000-654-3577-1-40 (Lighting &amp; Locker)"/>
  </r>
  <r>
    <x v="0"/>
    <s v="Architectural/Engineering  for A/C and new lighting throughout the school - 2019-20 Carry Over"/>
    <x v="0"/>
    <x v="1"/>
    <m/>
    <m/>
    <m/>
    <m/>
    <n v="44107.240000000005"/>
    <m/>
    <m/>
    <m/>
    <m/>
    <m/>
    <m/>
    <m/>
    <m/>
    <m/>
    <m/>
    <m/>
  </r>
  <r>
    <x v="0"/>
    <s v="Phase 2"/>
    <x v="1"/>
    <x v="1"/>
    <m/>
    <m/>
    <m/>
    <m/>
    <m/>
    <m/>
    <m/>
    <m/>
    <m/>
    <m/>
    <m/>
    <m/>
    <m/>
    <m/>
    <n v="150000"/>
    <m/>
  </r>
  <r>
    <x v="1"/>
    <s v="BAS System(SR) "/>
    <x v="0"/>
    <x v="2"/>
    <m/>
    <m/>
    <m/>
    <n v="47923.256000000001"/>
    <m/>
    <m/>
    <m/>
    <m/>
    <m/>
    <m/>
    <m/>
    <m/>
    <m/>
    <m/>
    <m/>
    <s v="42-000-654-3336-1-10(BAS)     "/>
  </r>
  <r>
    <x v="1"/>
    <s v="PO65975 Trane - BAS modifications"/>
    <x v="0"/>
    <x v="2"/>
    <m/>
    <m/>
    <m/>
    <m/>
    <m/>
    <m/>
    <m/>
    <m/>
    <n v="2756.34"/>
    <m/>
    <m/>
    <m/>
    <m/>
    <m/>
    <m/>
    <m/>
  </r>
  <r>
    <x v="1"/>
    <s v="HEPA Air Filters - PO67565"/>
    <x v="0"/>
    <x v="0"/>
    <n v="6"/>
    <m/>
    <m/>
    <m/>
    <m/>
    <m/>
    <m/>
    <m/>
    <m/>
    <m/>
    <n v="4090.9090909090919"/>
    <m/>
    <m/>
    <m/>
    <m/>
    <m/>
  </r>
  <r>
    <x v="1"/>
    <s v="Replace 1 old RTU's for improved efficiency and ventilation(CVRIS)  "/>
    <x v="0"/>
    <x v="1"/>
    <m/>
    <m/>
    <n v="1"/>
    <m/>
    <m/>
    <n v="62041.768000000004"/>
    <m/>
    <m/>
    <m/>
    <m/>
    <m/>
    <m/>
    <m/>
    <m/>
    <m/>
    <s v="46-000-654-0000-1-10(HVAC)"/>
  </r>
  <r>
    <x v="1"/>
    <s v=":ar-Mex Monthly Inspection 20/21"/>
    <x v="0"/>
    <x v="3"/>
    <m/>
    <m/>
    <m/>
    <m/>
    <m/>
    <m/>
    <m/>
    <m/>
    <n v="6824.2880000000005"/>
    <m/>
    <m/>
    <m/>
    <m/>
    <m/>
    <m/>
    <m/>
  </r>
  <r>
    <x v="2"/>
    <s v="HEPA Air Filters - PO67565"/>
    <x v="0"/>
    <x v="0"/>
    <n v="4"/>
    <m/>
    <m/>
    <m/>
    <m/>
    <m/>
    <m/>
    <m/>
    <m/>
    <m/>
    <n v="2727.2727272727279"/>
    <m/>
    <m/>
    <m/>
    <m/>
    <m/>
  </r>
  <r>
    <x v="2"/>
    <s v="Addition of Roof Top Units - removing Heat Pumps - Contractor - 2019-20 Carry Over"/>
    <x v="0"/>
    <x v="1"/>
    <m/>
    <m/>
    <n v="10"/>
    <m/>
    <n v="476265.69"/>
    <m/>
    <m/>
    <m/>
    <m/>
    <m/>
    <m/>
    <m/>
    <m/>
    <m/>
    <m/>
    <s v="45-000-654-6083-1-20"/>
  </r>
  <r>
    <x v="2"/>
    <s v="Architectural/Engineering for Roof Top Units - removing Heat Pumps - Carry Over from 2019-20"/>
    <x v="0"/>
    <x v="1"/>
    <m/>
    <m/>
    <m/>
    <m/>
    <n v="2308.8200000000002"/>
    <m/>
    <m/>
    <m/>
    <m/>
    <m/>
    <m/>
    <m/>
    <m/>
    <m/>
    <m/>
    <s v="45-000-654-6078-1-20"/>
  </r>
  <r>
    <x v="3"/>
    <s v="HEPA Air Filters - PO67565"/>
    <x v="0"/>
    <x v="0"/>
    <n v="7"/>
    <m/>
    <m/>
    <m/>
    <m/>
    <m/>
    <m/>
    <m/>
    <m/>
    <m/>
    <n v="4772.7272727272739"/>
    <m/>
    <m/>
    <m/>
    <m/>
    <m/>
  </r>
  <r>
    <x v="3"/>
    <s v="Comfort Mechanical extra maintenance"/>
    <x v="0"/>
    <x v="3"/>
    <m/>
    <m/>
    <m/>
    <m/>
    <m/>
    <m/>
    <m/>
    <n v="1011.3840000000001"/>
    <m/>
    <m/>
    <m/>
    <m/>
    <m/>
    <m/>
    <m/>
    <m/>
  </r>
  <r>
    <x v="3"/>
    <s v="Comfort Mechanical extra maintenance"/>
    <x v="0"/>
    <x v="3"/>
    <m/>
    <m/>
    <m/>
    <m/>
    <m/>
    <m/>
    <m/>
    <n v="1011.3840000000001"/>
    <m/>
    <m/>
    <m/>
    <m/>
    <m/>
    <m/>
    <m/>
    <m/>
  </r>
  <r>
    <x v="4"/>
    <s v="Add Building Automation System for "/>
    <x v="1"/>
    <x v="2"/>
    <m/>
    <m/>
    <m/>
    <m/>
    <m/>
    <m/>
    <m/>
    <m/>
    <m/>
    <m/>
    <m/>
    <m/>
    <m/>
    <m/>
    <n v="50000"/>
    <m/>
  </r>
  <r>
    <x v="4"/>
    <s v="HEPA Air Filters - PO67565"/>
    <x v="0"/>
    <x v="0"/>
    <n v="2"/>
    <m/>
    <m/>
    <m/>
    <m/>
    <m/>
    <m/>
    <m/>
    <m/>
    <m/>
    <n v="1363.636363636364"/>
    <m/>
    <m/>
    <m/>
    <m/>
    <m/>
  </r>
  <r>
    <x v="4"/>
    <s v="CO2 and ventilation optimization, give remote access and monitoring"/>
    <x v="1"/>
    <x v="1"/>
    <m/>
    <m/>
    <m/>
    <m/>
    <m/>
    <m/>
    <m/>
    <m/>
    <m/>
    <m/>
    <m/>
    <m/>
    <m/>
    <m/>
    <n v="50000"/>
    <m/>
  </r>
  <r>
    <x v="5"/>
    <s v="HEPA Air Filters - PO67565"/>
    <x v="0"/>
    <x v="0"/>
    <n v="8"/>
    <m/>
    <m/>
    <m/>
    <m/>
    <m/>
    <m/>
    <m/>
    <m/>
    <m/>
    <n v="5454.5454545454559"/>
    <m/>
    <m/>
    <m/>
    <m/>
    <m/>
  </r>
  <r>
    <x v="5"/>
    <s v=":ar-Mex Monthly Inspection 20/21"/>
    <x v="0"/>
    <x v="3"/>
    <m/>
    <m/>
    <m/>
    <m/>
    <m/>
    <m/>
    <m/>
    <m/>
    <n v="3399.8848000000003"/>
    <m/>
    <m/>
    <m/>
    <m/>
    <m/>
    <m/>
    <m/>
  </r>
  <r>
    <x v="6"/>
    <s v="HEPA Air Filters"/>
    <x v="1"/>
    <x v="0"/>
    <n v="11"/>
    <m/>
    <m/>
    <m/>
    <m/>
    <m/>
    <m/>
    <n v="8091.0499999999993"/>
    <m/>
    <m/>
    <m/>
    <m/>
    <m/>
    <m/>
    <m/>
    <m/>
  </r>
  <r>
    <x v="6"/>
    <s v="Comfort Mechanical extra maintenance"/>
    <x v="0"/>
    <x v="3"/>
    <m/>
    <m/>
    <m/>
    <m/>
    <m/>
    <m/>
    <m/>
    <n v="816.25840000000017"/>
    <m/>
    <m/>
    <m/>
    <m/>
    <m/>
    <m/>
    <m/>
    <m/>
  </r>
  <r>
    <x v="6"/>
    <s v="Comfort Mechanical extra maintenance"/>
    <x v="0"/>
    <x v="3"/>
    <m/>
    <m/>
    <m/>
    <m/>
    <m/>
    <m/>
    <m/>
    <n v="816.25840000000017"/>
    <m/>
    <m/>
    <m/>
    <m/>
    <m/>
    <m/>
    <m/>
    <m/>
  </r>
  <r>
    <x v="7"/>
    <s v=" BAS Automation (SR)"/>
    <x v="0"/>
    <x v="2"/>
    <m/>
    <m/>
    <m/>
    <n v="24160.84"/>
    <m/>
    <m/>
    <m/>
    <m/>
    <m/>
    <m/>
    <m/>
    <m/>
    <m/>
    <m/>
    <m/>
    <s v="42-000-654-3336-4-75 (BAS) "/>
  </r>
  <r>
    <x v="7"/>
    <s v="PO65975 Trane - BAS modifications"/>
    <x v="0"/>
    <x v="2"/>
    <m/>
    <m/>
    <m/>
    <m/>
    <m/>
    <m/>
    <m/>
    <m/>
    <n v="2538.37"/>
    <m/>
    <m/>
    <m/>
    <m/>
    <m/>
    <m/>
    <m/>
  </r>
  <r>
    <x v="7"/>
    <s v="HEPA Air Filters - austin air"/>
    <x v="0"/>
    <x v="0"/>
    <n v="1"/>
    <m/>
    <m/>
    <m/>
    <m/>
    <m/>
    <m/>
    <n v="735.55"/>
    <m/>
    <m/>
    <m/>
    <m/>
    <m/>
    <m/>
    <m/>
    <m/>
  </r>
  <r>
    <x v="7"/>
    <s v=":ar-Mex Monthly Inspection 20/21"/>
    <x v="0"/>
    <x v="3"/>
    <m/>
    <m/>
    <m/>
    <m/>
    <m/>
    <m/>
    <m/>
    <m/>
    <n v="17220.089599999999"/>
    <m/>
    <m/>
    <m/>
    <m/>
    <m/>
    <m/>
    <m/>
  </r>
  <r>
    <x v="7"/>
    <s v="Replace 3 old RTU's for improved efficiency and ventilation (CVRIS)"/>
    <x v="0"/>
    <x v="4"/>
    <m/>
    <m/>
    <n v="3"/>
    <m/>
    <m/>
    <n v="169360.848"/>
    <m/>
    <m/>
    <m/>
    <m/>
    <m/>
    <m/>
    <m/>
    <m/>
    <m/>
    <s v=" 46-000-654-0000-4-75 (HVAC)"/>
  </r>
  <r>
    <x v="8"/>
    <s v=" BAS Automation (SR)"/>
    <x v="0"/>
    <x v="2"/>
    <m/>
    <m/>
    <m/>
    <n v="31598.088000000003"/>
    <m/>
    <m/>
    <m/>
    <m/>
    <m/>
    <m/>
    <m/>
    <m/>
    <m/>
    <m/>
    <m/>
    <s v="42-000-654-3336-1-42(BAS)   "/>
  </r>
  <r>
    <x v="8"/>
    <s v="HEPA Air Filters - austin air"/>
    <x v="0"/>
    <x v="0"/>
    <n v="3"/>
    <m/>
    <m/>
    <m/>
    <m/>
    <m/>
    <m/>
    <n v="2206.6499999999996"/>
    <m/>
    <m/>
    <m/>
    <m/>
    <m/>
    <m/>
    <m/>
    <m/>
  </r>
  <r>
    <x v="8"/>
    <s v="BAS Modifications for Improved ventilation and HVAC inspections"/>
    <x v="0"/>
    <x v="1"/>
    <m/>
    <m/>
    <m/>
    <m/>
    <m/>
    <m/>
    <m/>
    <n v="879.19076814159314"/>
    <m/>
    <m/>
    <m/>
    <m/>
    <m/>
    <m/>
    <m/>
    <m/>
  </r>
  <r>
    <x v="8"/>
    <s v="Replace 5 old RTU's for improved efficiency and ventilation(CVRIS) "/>
    <x v="0"/>
    <x v="4"/>
    <m/>
    <m/>
    <n v="5"/>
    <m/>
    <m/>
    <n v="204871.66400000002"/>
    <m/>
    <m/>
    <m/>
    <m/>
    <m/>
    <m/>
    <m/>
    <m/>
    <m/>
    <s v="46-000-654-0000-1-42 (HVAC)"/>
  </r>
  <r>
    <x v="9"/>
    <s v="HEPA Air Filters - austin air"/>
    <x v="0"/>
    <x v="0"/>
    <n v="7"/>
    <m/>
    <m/>
    <m/>
    <m/>
    <m/>
    <m/>
    <n v="5148.8499999999995"/>
    <m/>
    <m/>
    <m/>
    <m/>
    <m/>
    <m/>
    <m/>
    <m/>
  </r>
  <r>
    <x v="10"/>
    <s v="BAS Automation (SR)"/>
    <x v="0"/>
    <x v="2"/>
    <m/>
    <m/>
    <m/>
    <n v="73187.423999999999"/>
    <m/>
    <m/>
    <m/>
    <m/>
    <m/>
    <m/>
    <m/>
    <m/>
    <m/>
    <m/>
    <m/>
    <s v="42-000-654-3336-1-35 (BAS)"/>
  </r>
  <r>
    <x v="10"/>
    <s v="Replace 4 old RTU's for improved efficiency and ventilation(CVRIS) "/>
    <x v="0"/>
    <x v="4"/>
    <m/>
    <m/>
    <n v="4"/>
    <m/>
    <m/>
    <n v="147171.696"/>
    <m/>
    <m/>
    <m/>
    <m/>
    <m/>
    <m/>
    <m/>
    <m/>
    <m/>
    <s v="   46-000-654-0000-1-35 (HVAC)"/>
  </r>
  <r>
    <x v="11"/>
    <s v="HEPA Air Filters - austin air"/>
    <x v="0"/>
    <x v="0"/>
    <n v="4"/>
    <m/>
    <m/>
    <m/>
    <m/>
    <m/>
    <m/>
    <n v="2942.2"/>
    <m/>
    <m/>
    <m/>
    <m/>
    <m/>
    <m/>
    <m/>
    <m/>
  </r>
  <r>
    <x v="11"/>
    <s v="1 set of Merv 13 filters left on site as spare"/>
    <x v="0"/>
    <x v="5"/>
    <m/>
    <m/>
    <m/>
    <m/>
    <m/>
    <m/>
    <m/>
    <n v="10313.052000000003"/>
    <m/>
    <m/>
    <m/>
    <m/>
    <m/>
    <m/>
    <m/>
    <m/>
  </r>
  <r>
    <x v="11"/>
    <s v="Comfort Mechanical extra maintenance"/>
    <x v="0"/>
    <x v="3"/>
    <m/>
    <m/>
    <m/>
    <m/>
    <m/>
    <m/>
    <m/>
    <n v="1481.3200000000004"/>
    <m/>
    <m/>
    <m/>
    <m/>
    <m/>
    <m/>
    <m/>
    <m/>
  </r>
  <r>
    <x v="11"/>
    <s v="Comfort Mechanical extra maintenance"/>
    <x v="0"/>
    <x v="3"/>
    <m/>
    <m/>
    <m/>
    <m/>
    <m/>
    <m/>
    <m/>
    <n v="1481.3200000000004"/>
    <m/>
    <m/>
    <m/>
    <m/>
    <m/>
    <m/>
    <m/>
    <m/>
  </r>
  <r>
    <x v="11"/>
    <s v="Replace two cooling coils-Emergency April 2021 - waiting to be installed"/>
    <x v="0"/>
    <x v="1"/>
    <m/>
    <m/>
    <m/>
    <m/>
    <n v="39740.239999999998"/>
    <m/>
    <m/>
    <m/>
    <m/>
    <m/>
    <m/>
    <m/>
    <m/>
    <m/>
    <m/>
    <m/>
  </r>
  <r>
    <x v="12"/>
    <s v=":ar-Mex Monthly Inspection 20/21"/>
    <x v="0"/>
    <x v="3"/>
    <m/>
    <m/>
    <m/>
    <m/>
    <m/>
    <m/>
    <m/>
    <m/>
    <n v="1230.7419520000001"/>
    <m/>
    <m/>
    <m/>
    <m/>
    <m/>
    <m/>
    <m/>
  </r>
  <r>
    <x v="12"/>
    <s v=":ar-Mex Monthly Inspection 20/21"/>
    <x v="0"/>
    <x v="3"/>
    <m/>
    <m/>
    <m/>
    <m/>
    <m/>
    <m/>
    <m/>
    <m/>
    <n v="306.48"/>
    <m/>
    <m/>
    <m/>
    <m/>
    <m/>
    <m/>
    <m/>
  </r>
  <r>
    <x v="12"/>
    <s v="HEPA Air Filters - austin air"/>
    <x v="0"/>
    <x v="0"/>
    <n v="9"/>
    <m/>
    <m/>
    <m/>
    <m/>
    <m/>
    <m/>
    <n v="6619.95"/>
    <m/>
    <m/>
    <m/>
    <m/>
    <m/>
    <m/>
    <m/>
    <m/>
  </r>
  <r>
    <x v="12"/>
    <s v="Engineering HVAC"/>
    <x v="1"/>
    <x v="1"/>
    <m/>
    <m/>
    <m/>
    <m/>
    <m/>
    <m/>
    <m/>
    <m/>
    <m/>
    <m/>
    <m/>
    <m/>
    <m/>
    <m/>
    <n v="50000"/>
    <m/>
  </r>
  <r>
    <x v="13"/>
    <s v="HEPA Air Filters - austin air"/>
    <x v="0"/>
    <x v="0"/>
    <n v="8"/>
    <m/>
    <m/>
    <m/>
    <m/>
    <m/>
    <m/>
    <n v="5884.4"/>
    <m/>
    <m/>
    <m/>
    <m/>
    <m/>
    <m/>
    <m/>
    <m/>
  </r>
  <r>
    <x v="13"/>
    <s v="BAS upgrade "/>
    <x v="1"/>
    <x v="2"/>
    <m/>
    <m/>
    <m/>
    <m/>
    <m/>
    <m/>
    <m/>
    <m/>
    <m/>
    <m/>
    <m/>
    <m/>
    <m/>
    <m/>
    <n v="75000"/>
    <m/>
  </r>
  <r>
    <x v="13"/>
    <s v="and replace Changeair units and boiler plant"/>
    <x v="1"/>
    <x v="1"/>
    <m/>
    <m/>
    <m/>
    <m/>
    <m/>
    <m/>
    <m/>
    <m/>
    <m/>
    <m/>
    <m/>
    <m/>
    <m/>
    <m/>
    <n v="400000"/>
    <m/>
  </r>
  <r>
    <x v="14"/>
    <s v="Addition of RTU's complete building 2021 - Arch/Eng services only"/>
    <x v="0"/>
    <x v="1"/>
    <m/>
    <m/>
    <m/>
    <m/>
    <n v="51023.81"/>
    <m/>
    <m/>
    <m/>
    <m/>
    <m/>
    <m/>
    <m/>
    <m/>
    <m/>
    <m/>
    <s v="45-000-654-6108-1-44"/>
  </r>
  <r>
    <x v="15"/>
    <s v="HEPA Air Filters - austin air"/>
    <x v="0"/>
    <x v="0"/>
    <n v="8"/>
    <m/>
    <m/>
    <m/>
    <m/>
    <m/>
    <m/>
    <n v="5884.4"/>
    <m/>
    <m/>
    <m/>
    <m/>
    <m/>
    <m/>
    <m/>
    <m/>
  </r>
  <r>
    <x v="15"/>
    <s v="Add air conditioning in south end of the building and replace the last section of roof - Section 2.0 - Contractor 2019-20 Carry Over"/>
    <x v="0"/>
    <x v="1"/>
    <m/>
    <m/>
    <m/>
    <m/>
    <m/>
    <m/>
    <n v="151974.46"/>
    <m/>
    <m/>
    <m/>
    <m/>
    <m/>
    <m/>
    <m/>
    <m/>
    <s v="47-000-654-0000-1-45"/>
  </r>
  <r>
    <x v="16"/>
    <s v="BAS Automation (SR)"/>
    <x v="0"/>
    <x v="2"/>
    <m/>
    <m/>
    <m/>
    <n v="31802.408000000003"/>
    <m/>
    <m/>
    <m/>
    <m/>
    <m/>
    <m/>
    <m/>
    <m/>
    <m/>
    <m/>
    <m/>
    <s v="42-000-654-3336-1-25 (BAS)"/>
  </r>
  <r>
    <x v="16"/>
    <s v="HEPA Air Filters - austin air"/>
    <x v="0"/>
    <x v="0"/>
    <n v="10"/>
    <m/>
    <m/>
    <m/>
    <m/>
    <m/>
    <m/>
    <n v="7355.5"/>
    <m/>
    <m/>
    <m/>
    <m/>
    <m/>
    <m/>
    <m/>
    <m/>
  </r>
  <r>
    <x v="16"/>
    <s v="Addition of RTU's complete building 2021-Arch/Eng services only"/>
    <x v="0"/>
    <x v="1"/>
    <m/>
    <m/>
    <m/>
    <m/>
    <n v="48117.36"/>
    <m/>
    <m/>
    <m/>
    <m/>
    <m/>
    <m/>
    <m/>
    <m/>
    <m/>
    <m/>
    <s v="45-000-654-6107-1-25"/>
  </r>
  <r>
    <x v="16"/>
    <s v="Replace 1 old RTU's for improved efficiency and ventilation(CVRIS)"/>
    <x v="0"/>
    <x v="1"/>
    <m/>
    <m/>
    <n v="1"/>
    <m/>
    <m/>
    <n v="72605.112000000008"/>
    <m/>
    <m/>
    <m/>
    <m/>
    <m/>
    <m/>
    <m/>
    <m/>
    <m/>
    <s v="  46-000-654-0000-1-25 (HVAC)"/>
  </r>
  <r>
    <x v="16"/>
    <s v="Complete HVAC replacement"/>
    <x v="0"/>
    <x v="1"/>
    <m/>
    <m/>
    <m/>
    <m/>
    <m/>
    <m/>
    <m/>
    <m/>
    <m/>
    <m/>
    <m/>
    <m/>
    <m/>
    <m/>
    <n v="300000"/>
    <m/>
  </r>
  <r>
    <x v="17"/>
    <s v="PO65975 Trane - BAS modifications"/>
    <x v="0"/>
    <x v="2"/>
    <m/>
    <m/>
    <m/>
    <m/>
    <m/>
    <m/>
    <m/>
    <m/>
    <n v="4339.55"/>
    <m/>
    <m/>
    <m/>
    <m/>
    <m/>
    <m/>
    <m/>
  </r>
  <r>
    <x v="17"/>
    <s v="Comfort Mechanical extra maintenance"/>
    <x v="0"/>
    <x v="3"/>
    <m/>
    <m/>
    <m/>
    <m/>
    <m/>
    <m/>
    <m/>
    <n v="842.82000000000016"/>
    <m/>
    <m/>
    <m/>
    <m/>
    <m/>
    <m/>
    <m/>
    <m/>
  </r>
  <r>
    <x v="17"/>
    <s v="Comfort Mechanical extra maintenance"/>
    <x v="0"/>
    <x v="3"/>
    <m/>
    <m/>
    <m/>
    <m/>
    <m/>
    <m/>
    <m/>
    <n v="842.82000000000016"/>
    <m/>
    <m/>
    <m/>
    <m/>
    <m/>
    <m/>
    <m/>
    <m/>
  </r>
  <r>
    <x v="17"/>
    <s v="HEPA Air Filters - austin air"/>
    <x v="0"/>
    <x v="0"/>
    <n v="1"/>
    <m/>
    <m/>
    <m/>
    <m/>
    <m/>
    <m/>
    <n v="735.55"/>
    <m/>
    <m/>
    <m/>
    <m/>
    <m/>
    <m/>
    <m/>
    <m/>
  </r>
  <r>
    <x v="18"/>
    <s v=":ar-Mex Monthly Inspection 20/21"/>
    <x v="0"/>
    <x v="3"/>
    <m/>
    <m/>
    <m/>
    <m/>
    <m/>
    <m/>
    <m/>
    <m/>
    <n v="5884.4160000000002"/>
    <m/>
    <m/>
    <m/>
    <m/>
    <m/>
    <m/>
    <m/>
  </r>
  <r>
    <x v="19"/>
    <s v="HEPA Air Filters - austin air"/>
    <x v="0"/>
    <x v="0"/>
    <n v="5"/>
    <m/>
    <m/>
    <m/>
    <m/>
    <m/>
    <m/>
    <n v="3677.75"/>
    <m/>
    <m/>
    <m/>
    <m/>
    <m/>
    <m/>
    <m/>
    <m/>
  </r>
  <r>
    <x v="19"/>
    <s v="Comfort Mechanical extra maintenance"/>
    <x v="0"/>
    <x v="3"/>
    <m/>
    <m/>
    <m/>
    <m/>
    <m/>
    <m/>
    <m/>
    <n v="970.52000000000021"/>
    <m/>
    <m/>
    <m/>
    <m/>
    <m/>
    <m/>
    <m/>
    <m/>
  </r>
  <r>
    <x v="19"/>
    <s v="Comfort Mechanical extra maintenance"/>
    <x v="0"/>
    <x v="3"/>
    <m/>
    <m/>
    <m/>
    <m/>
    <m/>
    <m/>
    <m/>
    <n v="970.52000000000021"/>
    <m/>
    <m/>
    <m/>
    <m/>
    <m/>
    <m/>
    <m/>
    <m/>
  </r>
  <r>
    <x v="20"/>
    <s v="HEPA Air Filters - PO67565"/>
    <x v="0"/>
    <x v="0"/>
    <n v="2"/>
    <m/>
    <m/>
    <m/>
    <m/>
    <m/>
    <m/>
    <m/>
    <m/>
    <m/>
    <n v="1363.636363636364"/>
    <m/>
    <m/>
    <m/>
    <m/>
    <m/>
  </r>
  <r>
    <x v="21"/>
    <s v="Comfort Mechanical extra maintenance"/>
    <x v="0"/>
    <x v="3"/>
    <m/>
    <m/>
    <m/>
    <m/>
    <m/>
    <m/>
    <m/>
    <n v="566.98800000000006"/>
    <m/>
    <m/>
    <m/>
    <m/>
    <m/>
    <m/>
    <m/>
    <m/>
  </r>
  <r>
    <x v="21"/>
    <s v="Comfort Mechanical extra maintenance"/>
    <x v="0"/>
    <x v="3"/>
    <m/>
    <m/>
    <m/>
    <m/>
    <m/>
    <m/>
    <m/>
    <n v="566.98800000000006"/>
    <m/>
    <m/>
    <m/>
    <m/>
    <m/>
    <m/>
    <m/>
    <m/>
  </r>
  <r>
    <x v="21"/>
    <s v="HEPA Air Filters - austin air"/>
    <x v="0"/>
    <x v="0"/>
    <n v="15"/>
    <m/>
    <m/>
    <m/>
    <m/>
    <m/>
    <m/>
    <n v="11033.25"/>
    <m/>
    <m/>
    <m/>
    <m/>
    <m/>
    <m/>
    <m/>
    <m/>
  </r>
  <r>
    <x v="22"/>
    <s v="PO65975 Trane - BAS modifications"/>
    <x v="0"/>
    <x v="2"/>
    <m/>
    <m/>
    <m/>
    <m/>
    <m/>
    <m/>
    <m/>
    <m/>
    <n v="4817.96"/>
    <m/>
    <m/>
    <m/>
    <m/>
    <m/>
    <m/>
    <m/>
  </r>
  <r>
    <x v="22"/>
    <s v=":ar-Mex Monthly Inspection 20/21"/>
    <x v="0"/>
    <x v="3"/>
    <m/>
    <m/>
    <m/>
    <m/>
    <m/>
    <m/>
    <m/>
    <m/>
    <n v="6946.88"/>
    <m/>
    <m/>
    <m/>
    <m/>
    <m/>
    <m/>
    <m/>
  </r>
  <r>
    <x v="22"/>
    <s v="HEPA Air Filters - austin air"/>
    <x v="0"/>
    <x v="0"/>
    <n v="14"/>
    <m/>
    <m/>
    <m/>
    <m/>
    <m/>
    <m/>
    <n v="10297.699999999999"/>
    <m/>
    <m/>
    <m/>
    <m/>
    <m/>
    <m/>
    <m/>
    <m/>
  </r>
  <r>
    <x v="23"/>
    <s v="Comfort Mechanical extra maintenance"/>
    <x v="0"/>
    <x v="3"/>
    <m/>
    <m/>
    <m/>
    <m/>
    <m/>
    <m/>
    <m/>
    <n v="794.55166017699128"/>
    <m/>
    <m/>
    <m/>
    <m/>
    <m/>
    <m/>
    <m/>
    <m/>
  </r>
  <r>
    <x v="23"/>
    <s v="Comfort Mechanical extra maintenance"/>
    <x v="0"/>
    <x v="3"/>
    <m/>
    <m/>
    <m/>
    <m/>
    <m/>
    <m/>
    <m/>
    <n v="796.84800000000007"/>
    <m/>
    <m/>
    <m/>
    <m/>
    <m/>
    <m/>
    <m/>
    <m/>
  </r>
  <r>
    <x v="23"/>
    <s v="Comfort Mechanical extra maintenance"/>
    <x v="0"/>
    <x v="3"/>
    <m/>
    <m/>
    <m/>
    <m/>
    <m/>
    <m/>
    <m/>
    <n v="796.84800000000007"/>
    <m/>
    <m/>
    <m/>
    <m/>
    <m/>
    <m/>
    <m/>
    <m/>
  </r>
  <r>
    <x v="24"/>
    <s v=":ar-Mex Monthly Inspection 20/21"/>
    <x v="0"/>
    <x v="3"/>
    <m/>
    <m/>
    <m/>
    <m/>
    <m/>
    <m/>
    <m/>
    <m/>
    <n v="13485.12"/>
    <m/>
    <m/>
    <m/>
    <m/>
    <m/>
    <m/>
    <m/>
  </r>
  <r>
    <x v="24"/>
    <s v="HEPA Air Filters - austin air"/>
    <x v="0"/>
    <x v="0"/>
    <n v="5"/>
    <m/>
    <m/>
    <m/>
    <m/>
    <m/>
    <m/>
    <n v="3677.75"/>
    <m/>
    <m/>
    <m/>
    <m/>
    <m/>
    <m/>
    <m/>
    <m/>
  </r>
  <r>
    <x v="25"/>
    <s v="PO65975 Trane - BAS modifications"/>
    <x v="0"/>
    <x v="2"/>
    <m/>
    <m/>
    <m/>
    <m/>
    <m/>
    <m/>
    <m/>
    <m/>
    <n v="2941.26"/>
    <m/>
    <m/>
    <m/>
    <m/>
    <m/>
    <m/>
    <m/>
  </r>
  <r>
    <x v="25"/>
    <s v=" BAS Automation (SR)"/>
    <x v="0"/>
    <x v="2"/>
    <m/>
    <m/>
    <m/>
    <n v="27460.608"/>
    <m/>
    <m/>
    <m/>
    <m/>
    <m/>
    <m/>
    <m/>
    <m/>
    <m/>
    <m/>
    <m/>
    <s v="42-000-654-3336-4-76 (BAS)  "/>
  </r>
  <r>
    <x v="25"/>
    <s v="BCU Upgrade to Tracer SC - TRANE - Done"/>
    <x v="0"/>
    <x v="2"/>
    <m/>
    <m/>
    <m/>
    <n v="50875.68"/>
    <m/>
    <m/>
    <m/>
    <m/>
    <m/>
    <m/>
    <m/>
    <m/>
    <m/>
    <m/>
    <m/>
    <s v="42-000-654-3656-4-76"/>
  </r>
  <r>
    <x v="25"/>
    <s v="HEPA Air Filters - austin air"/>
    <x v="0"/>
    <x v="0"/>
    <n v="2"/>
    <m/>
    <m/>
    <m/>
    <m/>
    <m/>
    <m/>
    <n v="1471.1"/>
    <m/>
    <m/>
    <m/>
    <m/>
    <m/>
    <m/>
    <m/>
    <m/>
  </r>
  <r>
    <x v="25"/>
    <s v="Replace 7 old RTU's for improved efficiency and ventilation(CVRIS)"/>
    <x v="0"/>
    <x v="1"/>
    <m/>
    <m/>
    <n v="7"/>
    <m/>
    <m/>
    <n v="305560.56"/>
    <m/>
    <m/>
    <m/>
    <m/>
    <m/>
    <m/>
    <m/>
    <m/>
    <m/>
    <s v="  46-000-654-0000-4-76 (HVAC)"/>
  </r>
  <r>
    <x v="26"/>
    <s v=":ar-Mex Monthly Inspection 20/21"/>
    <x v="0"/>
    <x v="3"/>
    <m/>
    <m/>
    <m/>
    <m/>
    <m/>
    <m/>
    <m/>
    <m/>
    <n v="3922.9440000000004"/>
    <m/>
    <m/>
    <m/>
    <m/>
    <m/>
    <m/>
    <m/>
  </r>
  <r>
    <x v="26"/>
    <s v="HEPA Air Filters - austin air"/>
    <x v="0"/>
    <x v="0"/>
    <n v="3"/>
    <m/>
    <m/>
    <m/>
    <m/>
    <m/>
    <m/>
    <n v="2206.6499999999996"/>
    <m/>
    <m/>
    <m/>
    <m/>
    <m/>
    <m/>
    <m/>
    <m/>
  </r>
  <r>
    <x v="26"/>
    <s v=":ar-Mex Monthly Inspection 20/21"/>
    <x v="0"/>
    <x v="3"/>
    <m/>
    <m/>
    <m/>
    <m/>
    <m/>
    <m/>
    <m/>
    <m/>
    <n v="17571.52"/>
    <m/>
    <m/>
    <m/>
    <m/>
    <m/>
    <m/>
    <m/>
  </r>
  <r>
    <x v="27"/>
    <s v="HEPA Air Filters - austin air"/>
    <x v="0"/>
    <x v="0"/>
    <n v="3"/>
    <m/>
    <m/>
    <m/>
    <m/>
    <m/>
    <m/>
    <n v="2206.6499999999996"/>
    <m/>
    <m/>
    <m/>
    <m/>
    <m/>
    <m/>
    <m/>
    <m/>
  </r>
  <r>
    <x v="27"/>
    <s v=":ar-Mex Monthly Inspection 20/21"/>
    <x v="0"/>
    <x v="3"/>
    <m/>
    <m/>
    <m/>
    <m/>
    <m/>
    <m/>
    <m/>
    <m/>
    <n v="7110.3360000000002"/>
    <m/>
    <m/>
    <m/>
    <m/>
    <m/>
    <m/>
    <m/>
  </r>
  <r>
    <x v="27"/>
    <s v="Comfort Mechanical extra maintenance"/>
    <x v="0"/>
    <x v="3"/>
    <m/>
    <m/>
    <m/>
    <m/>
    <m/>
    <m/>
    <m/>
    <n v="664.04000000000019"/>
    <m/>
    <m/>
    <m/>
    <m/>
    <m/>
    <m/>
    <m/>
    <m/>
  </r>
  <r>
    <x v="28"/>
    <s v="HEPA Air Filters - austin air"/>
    <x v="0"/>
    <x v="0"/>
    <n v="3"/>
    <m/>
    <m/>
    <m/>
    <m/>
    <m/>
    <m/>
    <n v="2206.6499999999996"/>
    <m/>
    <m/>
    <m/>
    <m/>
    <m/>
    <m/>
    <m/>
    <m/>
  </r>
  <r>
    <x v="28"/>
    <s v=":ar-Mex Monthly Inspection 20/21"/>
    <x v="0"/>
    <x v="3"/>
    <m/>
    <m/>
    <m/>
    <m/>
    <m/>
    <m/>
    <m/>
    <m/>
    <n v="7384.2882560000007"/>
    <m/>
    <m/>
    <m/>
    <m/>
    <m/>
    <m/>
    <m/>
  </r>
  <r>
    <x v="28"/>
    <s v="Comfort Mechanical extra maintenance"/>
    <x v="0"/>
    <x v="3"/>
    <m/>
    <m/>
    <m/>
    <m/>
    <m/>
    <m/>
    <m/>
    <n v="684.47200000000021"/>
    <m/>
    <m/>
    <m/>
    <m/>
    <m/>
    <m/>
    <m/>
    <m/>
  </r>
  <r>
    <x v="28"/>
    <s v="BAS replacement of JCI for improved efficiency"/>
    <x v="1"/>
    <x v="2"/>
    <m/>
    <m/>
    <m/>
    <m/>
    <m/>
    <m/>
    <m/>
    <m/>
    <m/>
    <m/>
    <m/>
    <m/>
    <m/>
    <m/>
    <n v="100000"/>
    <m/>
  </r>
  <r>
    <x v="28"/>
    <s v="Comfort Mechanical extra maintenance"/>
    <x v="0"/>
    <x v="3"/>
    <m/>
    <m/>
    <m/>
    <m/>
    <m/>
    <m/>
    <m/>
    <n v="684.47200000000021"/>
    <m/>
    <m/>
    <m/>
    <m/>
    <m/>
    <m/>
    <m/>
    <m/>
  </r>
  <r>
    <x v="29"/>
    <s v="HEPA Air Filters - austin air"/>
    <x v="0"/>
    <x v="0"/>
    <n v="5"/>
    <m/>
    <m/>
    <m/>
    <m/>
    <m/>
    <m/>
    <n v="3677.75"/>
    <m/>
    <m/>
    <m/>
    <m/>
    <m/>
    <m/>
    <m/>
    <m/>
  </r>
  <r>
    <x v="30"/>
    <s v="Upgrade Pneumatic Control on AC7 with a new DDC unit Control System"/>
    <x v="0"/>
    <x v="2"/>
    <m/>
    <m/>
    <m/>
    <m/>
    <n v="33058.949999999997"/>
    <m/>
    <m/>
    <m/>
    <m/>
    <m/>
    <m/>
    <m/>
    <m/>
    <m/>
    <m/>
    <s v="45-000-654-3672-4-85"/>
  </r>
  <r>
    <x v="30"/>
    <s v="BAS Automation (SR)"/>
    <x v="0"/>
    <x v="2"/>
    <m/>
    <m/>
    <m/>
    <n v="61837.448000000004"/>
    <m/>
    <m/>
    <m/>
    <m/>
    <m/>
    <m/>
    <m/>
    <m/>
    <m/>
    <m/>
    <m/>
    <s v="42-000-654-3336-4-85 (BAS)  "/>
  </r>
  <r>
    <x v="30"/>
    <s v="Addition of a/c (HVAC) in the Large gymnasium, including LED lighting - ASCO - Start June 14"/>
    <x v="0"/>
    <x v="1"/>
    <m/>
    <n v="4"/>
    <m/>
    <m/>
    <n v="369747.69"/>
    <m/>
    <m/>
    <m/>
    <m/>
    <m/>
    <m/>
    <m/>
    <m/>
    <m/>
    <m/>
    <s v="45-000-654-6098-4-85"/>
  </r>
  <r>
    <x v="30"/>
    <s v="Replace two cooling coils-Emergency late 2020 Christmas"/>
    <x v="0"/>
    <x v="1"/>
    <m/>
    <m/>
    <m/>
    <m/>
    <n v="52224.192000000003"/>
    <m/>
    <m/>
    <m/>
    <m/>
    <m/>
    <m/>
    <m/>
    <m/>
    <m/>
    <m/>
    <s v="45-000-654-6093-4-85"/>
  </r>
  <r>
    <x v="30"/>
    <s v="Replace 6 old RTU's for improved efficiency and ventilation (CVRIS) "/>
    <x v="0"/>
    <x v="1"/>
    <m/>
    <m/>
    <n v="6"/>
    <m/>
    <m/>
    <n v="340550.36000000004"/>
    <m/>
    <m/>
    <m/>
    <m/>
    <m/>
    <m/>
    <m/>
    <m/>
    <m/>
    <s v="46-000-654-0000-4-85 (HVAC)"/>
  </r>
  <r>
    <x v="31"/>
    <s v="Marleau HVAC PO65976"/>
    <x v="0"/>
    <x v="1"/>
    <m/>
    <m/>
    <m/>
    <m/>
    <m/>
    <m/>
    <m/>
    <n v="6951.9880000000003"/>
    <m/>
    <m/>
    <m/>
    <m/>
    <m/>
    <m/>
    <m/>
    <m/>
  </r>
  <r>
    <x v="31"/>
    <s v="HEPA Air Filters"/>
    <x v="0"/>
    <x v="0"/>
    <n v="4"/>
    <m/>
    <m/>
    <m/>
    <m/>
    <m/>
    <m/>
    <m/>
    <m/>
    <m/>
    <m/>
    <n v="3976"/>
    <m/>
    <m/>
    <m/>
    <m/>
  </r>
  <r>
    <x v="32"/>
    <s v=":ar-Mex Monthly Inspection 20/21"/>
    <x v="0"/>
    <x v="3"/>
    <m/>
    <m/>
    <m/>
    <m/>
    <m/>
    <m/>
    <m/>
    <m/>
    <n v="2492.7040000000002"/>
    <m/>
    <m/>
    <m/>
    <m/>
    <m/>
    <m/>
    <m/>
  </r>
  <r>
    <x v="32"/>
    <s v=":ar-Mex Monthly Inspection 20/21"/>
    <x v="0"/>
    <x v="3"/>
    <m/>
    <m/>
    <m/>
    <m/>
    <m/>
    <m/>
    <m/>
    <m/>
    <n v="919.44"/>
    <m/>
    <m/>
    <m/>
    <m/>
    <m/>
    <m/>
    <m/>
  </r>
  <r>
    <x v="33"/>
    <s v="PO65975 Trane - BAS modifications"/>
    <x v="0"/>
    <x v="2"/>
    <m/>
    <m/>
    <m/>
    <m/>
    <m/>
    <m/>
    <m/>
    <m/>
    <n v="1417.16"/>
    <m/>
    <m/>
    <m/>
    <m/>
    <m/>
    <m/>
    <m/>
  </r>
  <r>
    <x v="33"/>
    <s v="HEPA Air Filters"/>
    <x v="0"/>
    <x v="0"/>
    <n v="3"/>
    <m/>
    <m/>
    <m/>
    <m/>
    <m/>
    <m/>
    <m/>
    <m/>
    <m/>
    <m/>
    <n v="2982"/>
    <m/>
    <m/>
    <m/>
    <m/>
  </r>
  <r>
    <x v="33"/>
    <s v=":ar-Mex Monthly Inspection 20/21"/>
    <x v="0"/>
    <x v="3"/>
    <m/>
    <m/>
    <m/>
    <m/>
    <m/>
    <m/>
    <m/>
    <m/>
    <n v="5475.7760000000007"/>
    <m/>
    <m/>
    <m/>
    <m/>
    <m/>
    <m/>
    <m/>
  </r>
  <r>
    <x v="33"/>
    <s v="BCU Upgrade to Tracer SC - TRANE - Done"/>
    <x v="0"/>
    <x v="2"/>
    <m/>
    <m/>
    <m/>
    <n v="42702.879999999997"/>
    <m/>
    <m/>
    <m/>
    <m/>
    <m/>
    <m/>
    <m/>
    <m/>
    <m/>
    <m/>
    <m/>
    <s v="42-000-654-3657-1-11"/>
  </r>
  <r>
    <x v="34"/>
    <s v="HEPA Air Filters - austin air"/>
    <x v="0"/>
    <x v="0"/>
    <n v="2"/>
    <m/>
    <m/>
    <m/>
    <m/>
    <m/>
    <m/>
    <n v="1471.1"/>
    <m/>
    <m/>
    <m/>
    <m/>
    <m/>
    <m/>
    <m/>
    <m/>
  </r>
  <r>
    <x v="34"/>
    <s v="BAS Modifications for Improved ventilation and HVAC inspections"/>
    <x v="0"/>
    <x v="1"/>
    <m/>
    <m/>
    <m/>
    <m/>
    <m/>
    <m/>
    <m/>
    <n v="1192.2343221238939"/>
    <m/>
    <m/>
    <m/>
    <m/>
    <m/>
    <m/>
    <m/>
    <m/>
  </r>
  <r>
    <x v="34"/>
    <s v=":ar-Mex Monthly Inspection 20/21"/>
    <x v="0"/>
    <x v="3"/>
    <m/>
    <m/>
    <m/>
    <m/>
    <m/>
    <m/>
    <m/>
    <m/>
    <n v="4086.4"/>
    <m/>
    <m/>
    <m/>
    <m/>
    <m/>
    <m/>
    <m/>
  </r>
  <r>
    <x v="34"/>
    <s v="Arch/Engineering for roof &amp; RTU/HVAC over 82 addition"/>
    <x v="0"/>
    <x v="1"/>
    <m/>
    <m/>
    <m/>
    <m/>
    <n v="45277.31"/>
    <m/>
    <m/>
    <m/>
    <m/>
    <m/>
    <m/>
    <m/>
    <m/>
    <m/>
    <m/>
    <s v="45-000-653-6096-1-21"/>
  </r>
  <r>
    <x v="34"/>
    <s v="Addition of A/C for the second floor (new windows prevent individual units that were in place from being used).  With heat risign, it gets very hot on that floor - roof &amp; RTU/HVAC"/>
    <x v="0"/>
    <x v="1"/>
    <m/>
    <n v="2"/>
    <m/>
    <m/>
    <m/>
    <n v="357886.91"/>
    <m/>
    <m/>
    <m/>
    <m/>
    <m/>
    <m/>
    <m/>
    <m/>
    <m/>
    <s v="46-000-654-0000-1-21"/>
  </r>
  <r>
    <x v="35"/>
    <s v="HEPA Air Filters"/>
    <x v="0"/>
    <x v="0"/>
    <n v="2"/>
    <m/>
    <m/>
    <m/>
    <m/>
    <m/>
    <m/>
    <m/>
    <m/>
    <m/>
    <m/>
    <n v="1988"/>
    <m/>
    <m/>
    <m/>
    <m/>
  </r>
  <r>
    <x v="36"/>
    <s v="HEPA Air Filters"/>
    <x v="0"/>
    <x v="0"/>
    <n v="2"/>
    <m/>
    <m/>
    <m/>
    <m/>
    <m/>
    <m/>
    <m/>
    <m/>
    <m/>
    <m/>
    <n v="1988"/>
    <m/>
    <m/>
    <m/>
    <m/>
  </r>
  <r>
    <x v="36"/>
    <s v="Addition of RTU's complete building - Arch/Eng services only"/>
    <x v="0"/>
    <x v="1"/>
    <m/>
    <m/>
    <m/>
    <m/>
    <n v="64360.800000000003"/>
    <m/>
    <m/>
    <m/>
    <m/>
    <m/>
    <m/>
    <m/>
    <m/>
    <m/>
    <m/>
    <s v="45-000-653-6094-1-56"/>
  </r>
  <r>
    <x v="36"/>
    <s v="Addition of RTU's complete building - Contractor only - Starting Mon. June 14"/>
    <x v="0"/>
    <x v="1"/>
    <m/>
    <n v="5"/>
    <m/>
    <m/>
    <m/>
    <n v="938850.4"/>
    <m/>
    <m/>
    <m/>
    <m/>
    <m/>
    <m/>
    <m/>
    <m/>
    <m/>
    <s v="46-000-654-0000-1-56"/>
  </r>
  <r>
    <x v="36"/>
    <s v="Addition of RTU's complete building - Contractor only - Budget Account # 42-000 Figures"/>
    <x v="0"/>
    <x v="1"/>
    <m/>
    <m/>
    <m/>
    <n v="11500"/>
    <m/>
    <m/>
    <m/>
    <m/>
    <m/>
    <m/>
    <m/>
    <m/>
    <m/>
    <m/>
    <m/>
    <s v="42-000-654-3615-1-56"/>
  </r>
  <r>
    <x v="36"/>
    <s v="Comfort Mechanical extra maintenance"/>
    <x v="0"/>
    <x v="3"/>
    <m/>
    <m/>
    <m/>
    <m/>
    <m/>
    <m/>
    <m/>
    <n v="158.34800000000004"/>
    <m/>
    <m/>
    <m/>
    <m/>
    <m/>
    <m/>
    <m/>
    <m/>
  </r>
  <r>
    <x v="36"/>
    <s v="PO65975 Trane - BAS modifications"/>
    <x v="0"/>
    <x v="2"/>
    <m/>
    <m/>
    <m/>
    <m/>
    <m/>
    <m/>
    <m/>
    <m/>
    <n v="744.22"/>
    <m/>
    <m/>
    <m/>
    <m/>
    <m/>
    <m/>
    <m/>
  </r>
  <r>
    <x v="36"/>
    <s v="Comfort Mechanical extra maintenance"/>
    <x v="0"/>
    <x v="3"/>
    <m/>
    <m/>
    <m/>
    <m/>
    <m/>
    <m/>
    <m/>
    <n v="158.34800000000004"/>
    <m/>
    <m/>
    <m/>
    <m/>
    <m/>
    <m/>
    <m/>
    <m/>
  </r>
  <r>
    <x v="37"/>
    <s v=" Bas Automation (SR)"/>
    <x v="0"/>
    <x v="2"/>
    <m/>
    <m/>
    <m/>
    <n v="84506.752000000008"/>
    <m/>
    <m/>
    <m/>
    <m/>
    <m/>
    <m/>
    <m/>
    <m/>
    <m/>
    <m/>
    <m/>
    <s v="42-000-654-3336-4-77 (BAS) "/>
  </r>
  <r>
    <x v="37"/>
    <s v="HEPA Air Filters - austin air"/>
    <x v="0"/>
    <x v="0"/>
    <n v="1"/>
    <m/>
    <m/>
    <m/>
    <m/>
    <m/>
    <m/>
    <n v="735.55"/>
    <m/>
    <m/>
    <m/>
    <m/>
    <m/>
    <m/>
    <m/>
    <m/>
  </r>
  <r>
    <x v="37"/>
    <s v="Replace 7 old RTU's for improved efficiency and ventilation (CVRIS)"/>
    <x v="0"/>
    <x v="1"/>
    <m/>
    <m/>
    <n v="7"/>
    <m/>
    <m/>
    <n v="233588.84000000003"/>
    <m/>
    <m/>
    <m/>
    <m/>
    <m/>
    <m/>
    <m/>
    <m/>
    <m/>
    <s v="  46-000-654-0000-4-77(HVAC)"/>
  </r>
  <r>
    <x v="37"/>
    <s v="Replace 2 MUA units for change rooms &amp; Kitchen.  (Remove old MUA unit, roof repair, and interlock the MUA with the exhaust in the kitchen. - SINGLE SOURCE NEEDED - 2019-20 Carry Over"/>
    <x v="0"/>
    <x v="1"/>
    <m/>
    <m/>
    <n v="2"/>
    <m/>
    <n v="12442.06"/>
    <m/>
    <m/>
    <m/>
    <m/>
    <m/>
    <m/>
    <m/>
    <m/>
    <m/>
    <m/>
    <s v="45-000-654-6086-4-77"/>
  </r>
  <r>
    <x v="37"/>
    <s v="BAS Modifications for Improved ventilation and HVAC inspections"/>
    <x v="0"/>
    <x v="1"/>
    <m/>
    <m/>
    <m/>
    <m/>
    <m/>
    <m/>
    <m/>
    <n v="3125.4541097345141"/>
    <m/>
    <m/>
    <m/>
    <m/>
    <m/>
    <m/>
    <m/>
    <m/>
  </r>
  <r>
    <x v="37"/>
    <s v=":ar-Mex Monthly Inspection 20/21"/>
    <x v="0"/>
    <x v="3"/>
    <m/>
    <m/>
    <m/>
    <m/>
    <m/>
    <m/>
    <m/>
    <m/>
    <n v="13076.480000000001"/>
    <m/>
    <m/>
    <m/>
    <m/>
    <m/>
    <m/>
    <m/>
  </r>
  <r>
    <x v="38"/>
    <s v="Addition of air conditioning for upstairs classrooms - Arch/Eng Services"/>
    <x v="0"/>
    <x v="1"/>
    <m/>
    <m/>
    <m/>
    <m/>
    <n v="50702.01"/>
    <m/>
    <m/>
    <m/>
    <m/>
    <m/>
    <m/>
    <m/>
    <m/>
    <m/>
    <m/>
    <s v="45-000-654-6109-1-47"/>
  </r>
  <r>
    <x v="38"/>
    <s v="Add ventilation to 2nd floor"/>
    <x v="0"/>
    <x v="1"/>
    <m/>
    <m/>
    <m/>
    <m/>
    <m/>
    <m/>
    <m/>
    <m/>
    <m/>
    <m/>
    <m/>
    <m/>
    <m/>
    <m/>
    <n v="300000"/>
    <m/>
  </r>
  <r>
    <x v="38"/>
    <s v="HEPA Air Filters"/>
    <x v="0"/>
    <x v="0"/>
    <n v="12"/>
    <m/>
    <m/>
    <m/>
    <m/>
    <m/>
    <m/>
    <m/>
    <m/>
    <m/>
    <m/>
    <n v="11928"/>
    <m/>
    <m/>
    <m/>
    <m/>
  </r>
  <r>
    <x v="38"/>
    <s v="BAS Modifications for Improved ventilation and HVAC inspections"/>
    <x v="0"/>
    <x v="1"/>
    <m/>
    <m/>
    <m/>
    <m/>
    <m/>
    <m/>
    <m/>
    <n v="531.43993628318594"/>
    <m/>
    <m/>
    <m/>
    <m/>
    <m/>
    <m/>
    <m/>
    <m/>
  </r>
  <r>
    <x v="39"/>
    <s v=" BAS Automation (SR)"/>
    <x v="0"/>
    <x v="2"/>
    <m/>
    <m/>
    <m/>
    <n v="75359.682728"/>
    <m/>
    <m/>
    <m/>
    <m/>
    <m/>
    <m/>
    <m/>
    <m/>
    <m/>
    <m/>
    <m/>
    <s v="42-000-654-3336-4-78(BAS)  "/>
  </r>
  <r>
    <x v="39"/>
    <s v="Replace 6 old RTU's for improved efficiency and ventilation(CVRIS)"/>
    <x v="0"/>
    <x v="1"/>
    <m/>
    <m/>
    <n v="6"/>
    <m/>
    <m/>
    <n v="403138.16527200013"/>
    <m/>
    <m/>
    <m/>
    <m/>
    <m/>
    <m/>
    <m/>
    <m/>
    <m/>
    <s v=" 42-000-654-3338-4-78 (SR part of HVAC)       46-000-654-0000-4-78 (HVAC)"/>
  </r>
  <r>
    <x v="39"/>
    <s v="Replace 6 old RTU's for improved efficiency and ventilation(CVRIS)"/>
    <x v="1"/>
    <x v="1"/>
    <m/>
    <m/>
    <m/>
    <m/>
    <m/>
    <m/>
    <m/>
    <m/>
    <m/>
    <m/>
    <m/>
    <m/>
    <m/>
    <n v="326809"/>
    <m/>
    <m/>
  </r>
  <r>
    <x v="40"/>
    <s v="PO65975 Trane - BAS modifications"/>
    <x v="0"/>
    <x v="2"/>
    <m/>
    <m/>
    <m/>
    <m/>
    <m/>
    <m/>
    <m/>
    <m/>
    <n v="2011.7"/>
    <m/>
    <m/>
    <m/>
    <m/>
    <m/>
    <m/>
    <m/>
  </r>
  <r>
    <x v="40"/>
    <s v="HEPA Air Filters"/>
    <x v="0"/>
    <x v="0"/>
    <n v="7"/>
    <m/>
    <m/>
    <m/>
    <m/>
    <m/>
    <m/>
    <m/>
    <m/>
    <m/>
    <m/>
    <n v="6958"/>
    <m/>
    <m/>
    <m/>
    <m/>
  </r>
  <r>
    <x v="41"/>
    <s v="HEPA Air Filters"/>
    <x v="0"/>
    <x v="0"/>
    <n v="6"/>
    <m/>
    <m/>
    <m/>
    <m/>
    <m/>
    <m/>
    <m/>
    <m/>
    <m/>
    <m/>
    <n v="5964"/>
    <m/>
    <m/>
    <m/>
    <m/>
  </r>
  <r>
    <x v="42"/>
    <s v="HEPA Air Filters"/>
    <x v="0"/>
    <x v="0"/>
    <n v="7"/>
    <m/>
    <m/>
    <m/>
    <m/>
    <m/>
    <m/>
    <m/>
    <m/>
    <m/>
    <m/>
    <n v="6958"/>
    <m/>
    <m/>
    <m/>
    <m/>
  </r>
  <r>
    <x v="43"/>
    <s v="BAS Modifications for Improved ventilation and HVAC inspections"/>
    <x v="0"/>
    <x v="6"/>
    <m/>
    <m/>
    <m/>
    <m/>
    <m/>
    <m/>
    <m/>
    <n v="109423.57600000002"/>
    <m/>
    <m/>
    <m/>
    <m/>
    <m/>
    <m/>
    <m/>
    <m/>
  </r>
  <r>
    <x v="43"/>
    <s v="Excess HEPPA Units - To be deployed"/>
    <x v="0"/>
    <x v="7"/>
    <m/>
    <m/>
    <m/>
    <m/>
    <m/>
    <m/>
    <m/>
    <m/>
    <m/>
    <m/>
    <m/>
    <n v="135258"/>
    <m/>
    <m/>
    <m/>
    <m/>
  </r>
  <r>
    <x v="43"/>
    <s v="Engineering Services Air Balancing and Indoor Air Quality Assessment (Phase 2 of IAQ assessments)"/>
    <x v="0"/>
    <x v="8"/>
    <m/>
    <m/>
    <m/>
    <m/>
    <m/>
    <m/>
    <m/>
    <m/>
    <n v="215495.65"/>
    <n v="33979.07"/>
    <m/>
    <m/>
    <m/>
    <m/>
    <m/>
    <m/>
  </r>
  <r>
    <x v="43"/>
    <s v="supply MERV 13 filters for 24 schools "/>
    <x v="0"/>
    <x v="5"/>
    <m/>
    <m/>
    <m/>
    <m/>
    <m/>
    <m/>
    <m/>
    <n v="38557.878130973462"/>
    <m/>
    <m/>
    <m/>
    <m/>
    <m/>
    <m/>
    <m/>
    <m/>
  </r>
  <r>
    <x v="43"/>
    <s v="Comfort Mechanical extra maintenance - PO 65977 remaining"/>
    <x v="0"/>
    <x v="3"/>
    <m/>
    <m/>
    <m/>
    <m/>
    <m/>
    <m/>
    <m/>
    <n v="21342.498739823011"/>
    <m/>
    <m/>
    <m/>
    <m/>
    <m/>
    <m/>
    <m/>
    <m/>
  </r>
  <r>
    <x v="43"/>
    <s v="Comfort Mechanical extra maintenance - PO 65978 remaining"/>
    <x v="0"/>
    <x v="3"/>
    <m/>
    <m/>
    <m/>
    <m/>
    <m/>
    <m/>
    <m/>
    <n v="26184.665762831864"/>
    <m/>
    <m/>
    <m/>
    <m/>
    <m/>
    <m/>
    <m/>
    <m/>
  </r>
  <r>
    <x v="43"/>
    <s v="larmex maintenance PO65978"/>
    <x v="0"/>
    <x v="3"/>
    <m/>
    <m/>
    <m/>
    <m/>
    <m/>
    <m/>
    <m/>
    <n v="13092.337401769913"/>
    <m/>
    <m/>
    <m/>
    <m/>
    <m/>
    <m/>
    <m/>
    <m/>
  </r>
  <r>
    <x v="43"/>
    <s v="filters"/>
    <x v="1"/>
    <x v="9"/>
    <m/>
    <m/>
    <m/>
    <m/>
    <m/>
    <m/>
    <m/>
    <m/>
    <m/>
    <m/>
    <m/>
    <m/>
    <n v="192184"/>
    <m/>
    <m/>
    <m/>
  </r>
  <r>
    <x v="43"/>
    <s v="larmex maintenance PO65978"/>
    <x v="0"/>
    <x v="3"/>
    <m/>
    <m/>
    <m/>
    <m/>
    <m/>
    <m/>
    <m/>
    <n v="13092.337401769913"/>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94089AD-8B91-47F4-99D3-BD8F78886762}" name="PivotTable1" cacheId="0" applyNumberFormats="0" applyBorderFormats="0" applyFontFormats="0" applyPatternFormats="0" applyAlignmentFormats="0" applyWidthHeightFormats="1" dataCaption="Values" updatedVersion="7" minRefreshableVersion="3" useAutoFormatting="1" itemPrintTitles="1" createdVersion="7" indent="0" compact="0" compactData="0" gridDropZones="1" multipleFieldFilters="0">
  <location ref="A3:N10" firstHeaderRow="1" firstDataRow="2" firstDataCol="3"/>
  <pivotFields count="22">
    <pivotField axis="axisRow" compact="0" outline="0" showAll="0">
      <items count="45">
        <item h="1" x="0"/>
        <item h="1" x="1"/>
        <item h="1" x="2"/>
        <item h="1" x="3"/>
        <item h="1" x="4"/>
        <item h="1" x="5"/>
        <item h="1" x="6"/>
        <item h="1" x="7"/>
        <item h="1" x="8"/>
        <item h="1" x="9"/>
        <item h="1" x="10"/>
        <item h="1" x="11"/>
        <item h="1" x="14"/>
        <item h="1" x="15"/>
        <item h="1" x="16"/>
        <item h="1" x="17"/>
        <item h="1" x="19"/>
        <item h="1" x="20"/>
        <item h="1" x="21"/>
        <item h="1" x="22"/>
        <item h="1" x="25"/>
        <item h="1" x="26"/>
        <item h="1" x="27"/>
        <item h="1" x="28"/>
        <item h="1" x="29"/>
        <item h="1" x="30"/>
        <item h="1" x="31"/>
        <item h="1" x="32"/>
        <item h="1" x="33"/>
        <item h="1" x="34"/>
        <item h="1" x="35"/>
        <item x="37"/>
        <item h="1" x="38"/>
        <item h="1" x="39"/>
        <item h="1" x="40"/>
        <item h="1" x="41"/>
        <item h="1" x="42"/>
        <item h="1" x="12"/>
        <item h="1" x="13"/>
        <item h="1" x="18"/>
        <item h="1" x="23"/>
        <item h="1" x="24"/>
        <item h="1" x="36"/>
        <item h="1" x="43"/>
        <item t="default"/>
      </items>
    </pivotField>
    <pivotField compact="0" outline="0" showAll="0"/>
    <pivotField axis="axisRow" compact="0" outline="0" showAll="0" defaultSubtotal="0">
      <items count="4">
        <item x="0"/>
        <item h="1" x="1"/>
        <item m="1" x="3"/>
        <item h="1" sd="0" m="1" x="2"/>
      </items>
    </pivotField>
    <pivotField axis="axisRow" compact="0" outline="0" showAll="0">
      <items count="11">
        <item x="2"/>
        <item sd="0" x="0"/>
        <item x="4"/>
        <item x="7"/>
        <item sd="0" x="1"/>
        <item x="3"/>
        <item x="5"/>
        <item x="6"/>
        <item x="8"/>
        <item x="9"/>
        <item t="default"/>
      </items>
    </pivotField>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compact="0" outline="0" showAll="0"/>
    <pivotField dataField="1" compact="0" outline="0" showAll="0"/>
    <pivotField dataField="1" compact="0" outline="0" showAll="0"/>
    <pivotField compact="0" outline="0" showAll="0"/>
    <pivotField compact="0" outline="0" showAll="0"/>
    <pivotField compact="0" outline="0" showAll="0"/>
    <pivotField compact="0" outline="0" showAll="0"/>
    <pivotField compact="0" outline="0" dragToRow="0" dragToCol="0" dragToPage="0" showAll="0" defaultSubtotal="0"/>
    <pivotField compact="0" outline="0" dragToRow="0" dragToCol="0" dragToPage="0" showAll="0" defaultSubtotal="0"/>
  </pivotFields>
  <rowFields count="3">
    <field x="0"/>
    <field x="2"/>
    <field x="3"/>
  </rowFields>
  <rowItems count="6">
    <i>
      <x v="31"/>
      <x/>
      <x/>
    </i>
    <i r="2">
      <x v="1"/>
    </i>
    <i r="2">
      <x v="4"/>
    </i>
    <i r="2">
      <x v="5"/>
    </i>
    <i t="default">
      <x v="31"/>
    </i>
    <i t="grand">
      <x/>
    </i>
  </rowItems>
  <colFields count="1">
    <field x="-2"/>
  </colFields>
  <colItems count="11">
    <i>
      <x/>
    </i>
    <i i="1">
      <x v="1"/>
    </i>
    <i i="2">
      <x v="2"/>
    </i>
    <i i="3">
      <x v="3"/>
    </i>
    <i i="4">
      <x v="4"/>
    </i>
    <i i="5">
      <x v="5"/>
    </i>
    <i i="6">
      <x v="6"/>
    </i>
    <i i="7">
      <x v="7"/>
    </i>
    <i i="8">
      <x v="8"/>
    </i>
    <i i="9">
      <x v="9"/>
    </i>
    <i i="10">
      <x v="10"/>
    </i>
  </colItems>
  <dataFields count="11">
    <dataField name="# of HEPPA Units" fld="4" baseField="2" baseItem="5" numFmtId="170"/>
    <dataField name=" # of RTU Units Added" fld="5" baseField="2" baseItem="5" numFmtId="170"/>
    <dataField name=" # of RTU Units Replaced" fld="6" baseField="2" baseItem="5" numFmtId="170"/>
    <dataField name=" 2020-2021 SR" fld="7" baseField="2" baseItem="5"/>
    <dataField name=" 2020-2021 SCI" fld="8" baseField="2" baseItem="5"/>
    <dataField name=" 2020-2021 CVRIS (F46)" fld="9" baseField="2" baseItem="5"/>
    <dataField name=" 2020-2021 CAIF (F47)" fld="10" baseField="2" baseItem="5"/>
    <dataField name=" Federal Air Quality cc3187" fld="12" baseField="2" baseItem="5"/>
    <dataField name=" Federal Air Quality cc3171" fld="11" baseField="2" baseItem="5"/>
    <dataField name=" 2020-2021 HEPA Funding" fld="14" baseField="2" baseItem="0"/>
    <dataField name=" 2020-2021 HEPA Funding2" fld="15" baseField="2" baseItem="0"/>
  </dataFields>
  <formats count="12">
    <format dxfId="14">
      <pivotArea outline="0" fieldPosition="0">
        <references count="1">
          <reference field="4294967294" count="3" selected="0">
            <x v="0"/>
            <x v="1"/>
            <x v="2"/>
          </reference>
        </references>
      </pivotArea>
    </format>
    <format dxfId="13">
      <pivotArea field="-2" type="button" dataOnly="0" labelOnly="1" outline="0" axis="axisCol" fieldPosition="0"/>
    </format>
    <format dxfId="12">
      <pivotArea type="topRight" dataOnly="0" labelOnly="1" outline="0" fieldPosition="0"/>
    </format>
    <format dxfId="11">
      <pivotArea dataOnly="0" labelOnly="1" outline="0" fieldPosition="0">
        <references count="1">
          <reference field="4294967294" count="3">
            <x v="0"/>
            <x v="1"/>
            <x v="2"/>
          </reference>
        </references>
      </pivotArea>
    </format>
    <format dxfId="10">
      <pivotArea outline="0" fieldPosition="0">
        <references count="1">
          <reference field="4294967294" count="3" selected="0">
            <x v="0"/>
            <x v="1"/>
            <x v="2"/>
          </reference>
        </references>
      </pivotArea>
    </format>
    <format dxfId="9">
      <pivotArea field="-2" type="button" dataOnly="0" labelOnly="1" outline="0" axis="axisCol" fieldPosition="0"/>
    </format>
    <format dxfId="8">
      <pivotArea type="topRight" dataOnly="0" labelOnly="1" outline="0" fieldPosition="0"/>
    </format>
    <format dxfId="7">
      <pivotArea dataOnly="0" labelOnly="1" outline="0" fieldPosition="0">
        <references count="1">
          <reference field="4294967294" count="3">
            <x v="0"/>
            <x v="1"/>
            <x v="2"/>
          </reference>
        </references>
      </pivotArea>
    </format>
    <format dxfId="6">
      <pivotArea field="0" type="button" dataOnly="0" labelOnly="1" outline="0" axis="axisRow" fieldPosition="0"/>
    </format>
    <format dxfId="5">
      <pivotArea field="2" type="button" dataOnly="0" labelOnly="1" outline="0" axis="axisRow" fieldPosition="1"/>
    </format>
    <format dxfId="4">
      <pivotArea field="3" type="button" dataOnly="0" labelOnly="1" outline="0" axis="axisRow" fieldPosition="2"/>
    </format>
    <format dxfId="3">
      <pivotArea dataOnly="0" labelOnly="1" outline="0" fieldPosition="0">
        <references count="1">
          <reference field="4294967294" count="11">
            <x v="0"/>
            <x v="1"/>
            <x v="2"/>
            <x v="3"/>
            <x v="4"/>
            <x v="5"/>
            <x v="6"/>
            <x v="7"/>
            <x v="8"/>
            <x v="9"/>
            <x v="10"/>
          </reference>
        </references>
      </pivotArea>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DE4970-DC09-4569-89E7-8AAED4B7975F}" name="Table1" displayName="Table1" ref="A5:K43" totalsRowShown="0" headerRowDxfId="25" dataDxfId="24">
  <autoFilter ref="A5:K43" xr:uid="{2A565CC2-0D5F-4CE8-80FF-539C60E8AD36}"/>
  <sortState xmlns:xlrd2="http://schemas.microsoft.com/office/spreadsheetml/2017/richdata2" ref="A6:K43">
    <sortCondition ref="A5:A43"/>
  </sortState>
  <tableColumns count="11">
    <tableColumn id="1" xr3:uid="{A9CAB48F-4ED3-4393-BD42-A44E1BCC09AD}" name="Name of School Facility"/>
    <tableColumn id="2" xr3:uid="{9810C622-DB9C-4222-852B-9DFB26916BCD}" name="Building ID"/>
    <tableColumn id="3" xr3:uid="{824B94AA-6AF0-457D-91C8-967BB2972B88}" name="Type of School Facility Ventilation" dataDxfId="23"/>
    <tableColumn id="4" xr3:uid="{971F9387-6B2F-4FCE-AE69-30E48A085B27}" name="Ventilation assessed " dataDxfId="22"/>
    <tableColumn id="5" xr3:uid="{1FE63AEF-B1BE-46F6-8CFC-5661EBF6328E}" name="Running ventilation systems longer" dataDxfId="21"/>
    <tableColumn id="6" xr3:uid="{3CAB1762-5555-4B9B-B61D-39BDCF2528F1}" name="Higher grade filters installed" dataDxfId="20"/>
    <tableColumn id="7" xr3:uid="{56A72B1A-802C-409A-9309-5BE04DCF3E58}" name="Increased frequency of filter changes" dataDxfId="19"/>
    <tableColumn id="8" xr3:uid="{13FB0FA1-B62E-4E55-9B39-65565BE097E6}" name="Increased fresh air intake (windows and/or mechanical ventilation systems)" dataDxfId="18"/>
    <tableColumn id="10" xr3:uid="{FD69C0EB-9B34-4CD6-B72D-78970B1FE525}" name="HEPA units deployed in portables, as needed " dataDxfId="17"/>
    <tableColumn id="11" xr3:uid="{B0F1D5F8-14E6-41CB-8BD4-B8EDB20C72E7}" name="Standalone HEPA filter units in place" dataDxfId="16"/>
    <tableColumn id="12" xr3:uid="{B33F2A49-E183-4E4C-987D-8809AF03C25D}" name="Board ID" dataDxfId="15"/>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45122F4-8D32-4D33-8FD1-294DF7694D80}" name="HVAC_Type" displayName="HVAC_Type" ref="AB2:AB5" totalsRowShown="0" headerRowDxfId="2" dataDxfId="1">
  <autoFilter ref="AB2:AB5" xr:uid="{5C5ADB90-6CC4-45C1-9B7A-0C3D61B00888}"/>
  <tableColumns count="1">
    <tableColumn id="1" xr3:uid="{B2B25287-9463-4BA3-8C4A-D2E6CBF8EB17}" name="HVAC System Type"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dT="2021-09-01T19:07:38.18" personId="{E9F23FAA-8428-485A-BB7E-7E8884110BFD}" id="{74F355A2-3615-4177-A6C6-1A8B41626AAB}">
    <text>@Royal Metcalfe Can you go down the list and categorize</text>
    <mentions>
      <mention mentionpersonId="{DDCC39FD-2266-4CE1-86A2-819EA1D63D67}" mentionId="{CB1E6FB2-DDAB-4B1E-A936-568886460621}" startIndex="0" length="15"/>
    </mentions>
  </threadedComment>
  <threadedComment ref="S18" dT="2021-09-02T15:01:59.18" personId="{E9F23FAA-8428-485A-BB7E-7E8884110BFD}" id="{41E19BE3-A3AC-4421-A9E7-CE092D4D202C}">
    <text>@Royal Metcalfe please split this project cost</text>
    <mentions>
      <mention mentionpersonId="{DDCC39FD-2266-4CE1-86A2-819EA1D63D67}" mentionId="{B533591D-25A2-4EE1-AC81-28985CA3CC6B}" startIndex="0" length="15"/>
    </mentions>
  </threadedComment>
  <threadedComment ref="S48" dT="2021-09-02T15:01:49.87" personId="{E9F23FAA-8428-485A-BB7E-7E8884110BFD}" id="{9BFDECF7-DD35-460F-8E7B-4D3121E81B0C}">
    <text>@Royal Metcalfe please split this into the two projects</text>
    <mentions>
      <mention mentionpersonId="{DDCC39FD-2266-4CE1-86A2-819EA1D63D67}" mentionId="{A71A21D3-15C7-4F73-9573-918D19B417A6}" startIndex="0" length="15"/>
    </mentions>
  </threadedComment>
  <threadedComment ref="T80" dT="2021-03-29T19:31:53.45" personId="{4E8E49C6-8A88-45A7-981D-A65F82CAE908}" id="{F089A9F4-ADF3-4F93-96D4-D2C35CC3971B}">
    <text>@Ashley Hutchinson Need a G/L code</text>
    <mentions>
      <mention mentionpersonId="{4CA2FD9F-D9DE-42C7-A4F9-62E70EB98365}" mentionId="{AEF197D8-DFDA-4296-9EAC-3CC6CA5293FA}" startIndex="0" length="18"/>
    </mentions>
  </threadedComment>
  <threadedComment ref="T80" dT="2021-03-29T19:48:49.91" personId="{EF431FF2-ADD0-47C6-B1D3-5FDB5241D1DF}" id="{E561AB45-17F9-4B76-A082-C47D837F9424}" parentId="{F089A9F4-ADF3-4F93-96D4-D2C35CC3971B}">
    <text>@Shawna Weagle - GL code please :)</text>
    <mentions>
      <mention mentionpersonId="{C3ADBE53-B4E1-48FE-AE74-2B628B7267A7}" mentionId="{F1F1B247-0D81-48C0-B07B-3EFFFA081452}" startIndex="0" length="14"/>
    </mentions>
  </threadedComment>
  <threadedComment ref="T95" dT="2021-06-09T14:19:10.63" personId="{4E8E49C6-8A88-45A7-981D-A65F82CAE908}" id="{8BF8FD00-D16E-49D5-BF62-7851F1DBBDE9}">
    <text>@Shawna Weagle will need a budget code for this SCI project.  Thank You!</text>
    <mentions>
      <mention mentionpersonId="{C3ADBE53-B4E1-48FE-AE74-2B628B7267A7}" mentionId="{82DC0935-30D3-498C-8AA6-CF940C018910}" startIndex="0" length="14"/>
    </mentions>
  </threadedComment>
  <threadedComment ref="T107" dT="2021-03-29T19:39:14.42" personId="{4E8E49C6-8A88-45A7-981D-A65F82CAE908}" id="{B593862A-88E2-4539-AF67-276CE9C2D974}">
    <text>@Ashley Hutchinson need a G/L code</text>
    <mentions>
      <mention mentionpersonId="{4CA2FD9F-D9DE-42C7-A4F9-62E70EB98365}" mentionId="{EAF80D53-8A28-414A-AFE8-4CA2853A6095}" startIndex="0" length="18"/>
    </mentions>
  </threadedComment>
  <threadedComment ref="T107" dT="2021-03-29T19:53:13.85" personId="{EF431FF2-ADD0-47C6-B1D3-5FDB5241D1DF}" id="{19644728-51FB-4071-AE41-1309358F1C3C}" parentId="{B593862A-88E2-4539-AF67-276CE9C2D974}">
    <text>@Dan Tackaberry just tag Shawna and she'll do it right away :) 
@Shawna Weagle please create G/L</text>
    <mentions>
      <mention mentionpersonId="{749965B3-FC34-421C-A884-BB518BAC6634}" mentionId="{8379EC7A-54F4-4768-9350-08792009C852}" startIndex="0" length="15"/>
      <mention mentionpersonId="{C3ADBE53-B4E1-48FE-AE74-2B628B7267A7}" mentionId="{B8F5D64E-918D-4865-B3ED-B1DD54A1A189}" startIndex="65" length="14"/>
    </mentions>
  </threadedComment>
  <threadedComment ref="T112" dT="2021-02-23T19:15:57.54" personId="{EF431FF2-ADD0-47C6-B1D3-5FDB5241D1DF}" id="{8BD61C0E-E4E1-4CFE-8A03-8091EC8EE10D}">
    <text>new code for federal funding</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4DF71-4C8A-4CC6-9276-CD53991813E7}">
  <sheetPr codeName="Sheet3">
    <tabColor theme="4"/>
    <pageSetUpPr fitToPage="1"/>
  </sheetPr>
  <dimension ref="A1:I37"/>
  <sheetViews>
    <sheetView showGridLines="0" showRowColHeaders="0" topLeftCell="A10" zoomScaleNormal="100" workbookViewId="0">
      <selection activeCell="C37" sqref="C37"/>
    </sheetView>
  </sheetViews>
  <sheetFormatPr defaultColWidth="0" defaultRowHeight="14.25" zeroHeight="1"/>
  <cols>
    <col min="1" max="1" width="8.86328125" customWidth="1"/>
    <col min="2" max="8" width="16.86328125" customWidth="1"/>
    <col min="9" max="9" width="8.86328125" customWidth="1"/>
    <col min="10" max="16384" width="8.86328125" hidden="1"/>
  </cols>
  <sheetData>
    <row r="1" spans="1:8" ht="15.75">
      <c r="A1" s="71" t="s">
        <v>0</v>
      </c>
    </row>
    <row r="2" spans="1:8" ht="60.75" customHeight="1">
      <c r="B2" s="175"/>
      <c r="C2" s="175"/>
      <c r="D2" s="175"/>
      <c r="E2" s="175"/>
      <c r="F2" s="175"/>
      <c r="G2" s="175"/>
      <c r="H2" s="175"/>
    </row>
    <row r="3" spans="1:8" ht="15" customHeight="1">
      <c r="A3" s="67"/>
    </row>
    <row r="4" spans="1:8" ht="39.950000000000003" customHeight="1">
      <c r="B4" s="176" t="s">
        <v>1</v>
      </c>
      <c r="C4" s="176"/>
      <c r="D4" s="176"/>
      <c r="E4" s="176"/>
      <c r="F4" s="176"/>
      <c r="G4" s="176"/>
      <c r="H4" s="176"/>
    </row>
    <row r="5" spans="1:8" ht="39.950000000000003" customHeight="1">
      <c r="B5" s="176"/>
      <c r="C5" s="176"/>
      <c r="D5" s="176"/>
      <c r="E5" s="176"/>
      <c r="F5" s="176"/>
      <c r="G5" s="176"/>
      <c r="H5" s="176"/>
    </row>
    <row r="6" spans="1:8" ht="5.0999999999999996" customHeight="1"/>
    <row r="7" spans="1:8" ht="45.95" customHeight="1">
      <c r="A7" s="68"/>
      <c r="B7" s="69"/>
      <c r="C7" s="177"/>
      <c r="D7" s="177"/>
      <c r="E7" s="177"/>
      <c r="F7" s="177"/>
      <c r="G7" s="177"/>
    </row>
    <row r="8" spans="1:8">
      <c r="A8" s="69"/>
      <c r="B8" s="69"/>
    </row>
    <row r="9" spans="1:8">
      <c r="A9" s="69"/>
      <c r="B9" s="69"/>
    </row>
    <row r="10" spans="1:8">
      <c r="A10" s="69"/>
      <c r="B10" s="69"/>
    </row>
    <row r="11" spans="1:8">
      <c r="A11" s="68"/>
      <c r="B11" s="69"/>
    </row>
    <row r="12" spans="1:8">
      <c r="A12" s="69"/>
      <c r="B12" s="69"/>
    </row>
    <row r="13" spans="1:8">
      <c r="A13" s="69"/>
      <c r="B13" s="69"/>
    </row>
    <row r="14" spans="1:8">
      <c r="A14" s="69"/>
      <c r="B14" s="69"/>
    </row>
    <row r="15" spans="1:8">
      <c r="A15" s="69"/>
      <c r="B15" s="69"/>
    </row>
    <row r="16" spans="1:8"/>
    <row r="17"/>
    <row r="18"/>
    <row r="19"/>
    <row r="20"/>
    <row r="21"/>
    <row r="22"/>
    <row r="23"/>
    <row r="24"/>
    <row r="25"/>
    <row r="26"/>
    <row r="27"/>
    <row r="28"/>
    <row r="29"/>
    <row r="30"/>
    <row r="31"/>
    <row r="32"/>
    <row r="33"/>
    <row r="34"/>
    <row r="35"/>
    <row r="36"/>
    <row r="37"/>
  </sheetData>
  <sheetProtection algorithmName="SHA-512" hashValue="9NXM5QGpDqkkJeqqA0qe9xEFmjvTdL40AX6fWIDe2eT0zFcoqtoxaOufh7k8tRoG90/4ZW5BoreyJu/GaNJbPQ==" saltValue="dCfcTv0Wbb17oZUi2Oj7Fw==" spinCount="100000" sheet="1" selectLockedCells="1" selectUnlockedCells="1"/>
  <mergeCells count="3">
    <mergeCell ref="B2:H2"/>
    <mergeCell ref="B4:H5"/>
    <mergeCell ref="C7:G7"/>
  </mergeCells>
  <pageMargins left="0.7" right="0.7" top="0.75" bottom="0.75" header="0.3" footer="0.3"/>
  <pageSetup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2441F-6306-46A4-A999-DBD260BBD220}">
  <sheetPr codeName="Sheet4">
    <tabColor theme="4" tint="-0.499984740745262"/>
    <pageSetUpPr fitToPage="1"/>
  </sheetPr>
  <dimension ref="A1:XFC33"/>
  <sheetViews>
    <sheetView zoomScaleNormal="100" workbookViewId="0">
      <selection activeCell="B2" sqref="B2"/>
    </sheetView>
  </sheetViews>
  <sheetFormatPr defaultColWidth="0" defaultRowHeight="14.25" zeroHeight="1"/>
  <cols>
    <col min="1" max="1" width="3.86328125" style="1" customWidth="1"/>
    <col min="2" max="13" width="10.86328125" style="1" customWidth="1"/>
    <col min="14" max="14" width="9.1328125" style="1" customWidth="1"/>
    <col min="15" max="15" width="3.86328125" style="1" customWidth="1"/>
    <col min="16" max="5704" width="0" style="1" hidden="1" customWidth="1"/>
    <col min="5705" max="16383" width="8.86328125" style="1" hidden="1"/>
    <col min="16384" max="16384" width="8.1328125" style="1" hidden="1"/>
  </cols>
  <sheetData>
    <row r="1" spans="1:2" ht="15.75">
      <c r="A1" s="71" t="s">
        <v>2</v>
      </c>
    </row>
    <row r="2" spans="1:2" ht="15.75">
      <c r="A2" s="70"/>
    </row>
    <row r="3" spans="1:2"/>
    <row r="4" spans="1:2" ht="20.25" customHeight="1"/>
    <row r="5" spans="1:2">
      <c r="A5" s="2"/>
      <c r="B5" s="2"/>
    </row>
    <row r="6" spans="1:2">
      <c r="A6" s="2"/>
      <c r="B6" s="2"/>
    </row>
    <row r="7" spans="1:2">
      <c r="A7" s="2"/>
      <c r="B7" s="2"/>
    </row>
    <row r="8" spans="1:2">
      <c r="A8" s="2"/>
      <c r="B8" s="2"/>
    </row>
    <row r="9" spans="1:2">
      <c r="A9" s="2"/>
      <c r="B9" s="2"/>
    </row>
    <row r="10" spans="1:2">
      <c r="A10" s="2"/>
      <c r="B10" s="2"/>
    </row>
    <row r="11" spans="1:2">
      <c r="A11" s="2"/>
      <c r="B11" s="2"/>
    </row>
    <row r="12" spans="1:2">
      <c r="A12" s="2"/>
      <c r="B12" s="2"/>
    </row>
    <row r="13" spans="1:2">
      <c r="A13" s="2"/>
      <c r="B13" s="2"/>
    </row>
    <row r="14" spans="1:2"/>
    <row r="15" spans="1:2"/>
    <row r="16" spans="1:2"/>
    <row r="17"/>
    <row r="18"/>
    <row r="19"/>
    <row r="20"/>
    <row r="21"/>
    <row r="22"/>
    <row r="23"/>
    <row r="24"/>
    <row r="25"/>
    <row r="26"/>
    <row r="27"/>
    <row r="28"/>
    <row r="29"/>
    <row r="30"/>
    <row r="31"/>
    <row r="32"/>
    <row r="33" spans="2:14" ht="27.75" hidden="1" customHeight="1">
      <c r="B33" s="178"/>
      <c r="C33" s="178"/>
      <c r="D33" s="178"/>
      <c r="E33" s="178"/>
      <c r="F33" s="178"/>
      <c r="G33" s="178"/>
      <c r="H33" s="178"/>
      <c r="I33" s="178"/>
      <c r="J33" s="178"/>
      <c r="K33" s="178"/>
      <c r="L33" s="178"/>
      <c r="M33" s="178"/>
      <c r="N33" s="178"/>
    </row>
  </sheetData>
  <sheetProtection algorithmName="SHA-512" hashValue="WGwEfh6m72WcQC1iVLQs9YFqb9nePEzpaydOD6dOZpdoIqW0TfGDeEg7codl56OrV505d4ytRLcivl4SdNMjYg==" saltValue="rnOGv6a+WVH4kGTTANzs0A==" spinCount="100000" sheet="1" objects="1" scenarios="1" selectLockedCells="1" selectUnlockedCells="1"/>
  <mergeCells count="1">
    <mergeCell ref="B33:N33"/>
  </mergeCells>
  <pageMargins left="0.7" right="0.7" top="0.75" bottom="0.75" header="0.3" footer="0.3"/>
  <pageSetup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45604-73A6-440C-AB0D-E5FBCADB9312}">
  <sheetPr codeName="Sheet1">
    <tabColor theme="9" tint="-0.249977111117893"/>
    <pageSetUpPr fitToPage="1"/>
  </sheetPr>
  <dimension ref="A1:XFC26"/>
  <sheetViews>
    <sheetView showGridLines="0" showRowColHeaders="0" tabSelected="1" zoomScaleNormal="100" workbookViewId="0">
      <selection activeCell="D5" sqref="D5"/>
    </sheetView>
  </sheetViews>
  <sheetFormatPr defaultColWidth="0" defaultRowHeight="14.25" zeroHeight="1"/>
  <cols>
    <col min="1" max="1" width="3.86328125" style="1" customWidth="1"/>
    <col min="2" max="3" width="15.59765625" style="1" customWidth="1"/>
    <col min="4" max="4" width="36.86328125" style="1" customWidth="1"/>
    <col min="5" max="5" width="21.3984375" style="1" customWidth="1"/>
    <col min="6" max="6" width="12.73046875" style="1" customWidth="1"/>
    <col min="7" max="7" width="6.3984375" style="1" customWidth="1"/>
    <col min="8" max="8" width="3.86328125" style="2" hidden="1"/>
    <col min="9" max="9" width="3.59765625" style="2" hidden="1"/>
    <col min="10" max="10" width="19.3984375" style="2" hidden="1"/>
    <col min="11" max="16380" width="6.1328125" style="1" hidden="1"/>
    <col min="16381" max="16381" width="4.1328125" style="1" hidden="1"/>
    <col min="16382" max="16382" width="3.86328125" style="1" hidden="1"/>
    <col min="16383" max="16383" width="6.3984375" style="1" hidden="1"/>
    <col min="16384" max="16384" width="6.1328125" style="1" hidden="1"/>
  </cols>
  <sheetData>
    <row r="1" spans="1:9" ht="15.75">
      <c r="A1" s="71" t="s">
        <v>3</v>
      </c>
    </row>
    <row r="2" spans="1:9" s="2" customFormat="1" ht="53.1" customHeight="1">
      <c r="A2" s="70"/>
      <c r="B2" s="183"/>
      <c r="C2" s="183"/>
      <c r="D2" s="183"/>
      <c r="E2" s="183"/>
      <c r="F2" s="183"/>
    </row>
    <row r="3" spans="1:9" s="2" customFormat="1" ht="12.95" customHeight="1">
      <c r="A3" s="1"/>
      <c r="B3" s="1"/>
      <c r="C3" s="1"/>
      <c r="D3" s="1"/>
      <c r="E3" s="1"/>
      <c r="F3" s="1"/>
    </row>
    <row r="4" spans="1:9" s="2" customFormat="1" ht="12.95" customHeight="1">
      <c r="A4" s="1"/>
      <c r="B4" s="1"/>
      <c r="C4" s="1"/>
      <c r="D4" s="1"/>
      <c r="E4" s="1"/>
      <c r="F4" s="1"/>
    </row>
    <row r="5" spans="1:9" s="2" customFormat="1" ht="24.95" customHeight="1">
      <c r="A5" s="1"/>
      <c r="B5" s="184" t="s">
        <v>4</v>
      </c>
      <c r="C5" s="185"/>
      <c r="D5" s="102" t="s">
        <v>67</v>
      </c>
      <c r="E5" s="3"/>
      <c r="F5" s="4"/>
      <c r="H5" s="12"/>
    </row>
    <row r="6" spans="1:9" s="2" customFormat="1" ht="6.75" customHeight="1">
      <c r="A6" s="1"/>
      <c r="B6" s="1"/>
      <c r="C6" s="1"/>
      <c r="D6" s="1"/>
      <c r="E6" s="1"/>
      <c r="F6" s="1"/>
    </row>
    <row r="7" spans="1:9" s="2" customFormat="1" ht="24.95" customHeight="1">
      <c r="A7" s="1"/>
      <c r="B7" s="6" t="s">
        <v>6</v>
      </c>
      <c r="C7" s="7"/>
      <c r="D7" s="5" t="str">
        <f>INDEX(Table1[Type of School Facility Ventilation],MATCH('3. School Dashboard'!D5,Table1[Name of School Facility],0),1)</f>
        <v>Partial Mechanical Ventilation</v>
      </c>
      <c r="E7" s="18"/>
      <c r="F7" s="9"/>
    </row>
    <row r="8" spans="1:9" s="2" customFormat="1" ht="12.6" customHeight="1">
      <c r="A8" s="1"/>
      <c r="B8" s="1"/>
      <c r="C8" s="1"/>
      <c r="D8" s="1"/>
      <c r="E8" s="1"/>
      <c r="F8" s="1"/>
    </row>
    <row r="9" spans="1:9" s="2" customFormat="1" ht="27" customHeight="1">
      <c r="A9" s="1"/>
      <c r="B9" s="184" t="s">
        <v>7</v>
      </c>
      <c r="C9" s="185"/>
      <c r="D9" s="185"/>
      <c r="E9" s="185"/>
      <c r="F9" s="186"/>
    </row>
    <row r="10" spans="1:9" s="2" customFormat="1" ht="18" customHeight="1">
      <c r="A10" s="1"/>
      <c r="B10" s="187" t="s">
        <v>8</v>
      </c>
      <c r="C10" s="188"/>
      <c r="D10" s="188"/>
      <c r="E10" s="46" t="str">
        <f>IF(AND(I10="NA", $D$7="Non-Mechanical Ventilation (Natural Ventilation / Exhaust Only)"),"Not Applicable", "")</f>
        <v/>
      </c>
      <c r="F10" s="8">
        <f>IF(I10="NA",-1,IF(I10="Yes",1,0))</f>
        <v>1</v>
      </c>
      <c r="I10" s="45" t="str">
        <f>INDEX(Table1[[Ventilation assessed ]],MATCH('3. School Dashboard'!$D$5,Table1[Name of School Facility],0))</f>
        <v>Yes</v>
      </c>
    </row>
    <row r="11" spans="1:9" s="2" customFormat="1" ht="18" customHeight="1">
      <c r="A11" s="1"/>
      <c r="B11" s="187" t="s">
        <v>9</v>
      </c>
      <c r="C11" s="188"/>
      <c r="D11" s="188"/>
      <c r="E11" s="46" t="str">
        <f>IF(AND(I11="NA", $D$7="Non-Mechanical Ventilation (Natural Ventilation / Exhaust Only)"),"Not Applicable", "")</f>
        <v/>
      </c>
      <c r="F11" s="8">
        <f>IF($I11="NA",-1,IF(I11="Yes",1,0))</f>
        <v>1</v>
      </c>
      <c r="I11" s="45" t="str">
        <f>INDEX(Table1[Running ventilation systems longer],MATCH('3. School Dashboard'!$D$5,Table1[Name of School Facility],0))</f>
        <v>Yes</v>
      </c>
    </row>
    <row r="12" spans="1:9" s="2" customFormat="1" ht="18" customHeight="1">
      <c r="A12" s="1"/>
      <c r="B12" s="181" t="s">
        <v>10</v>
      </c>
      <c r="C12" s="182"/>
      <c r="D12" s="182"/>
      <c r="E12" s="46" t="str">
        <f>IF(AND(I12="NA", $D$7="Non-Mechanical Ventilation (Natural Ventilation / Exhaust Only)"),"Not Applicable", "")</f>
        <v/>
      </c>
      <c r="F12" s="8">
        <f>IF($I12="NA",-1,IF(I12="Yes",1,0))</f>
        <v>1</v>
      </c>
      <c r="I12" s="45" t="str">
        <f>INDEX(Table1[Higher grade filters installed],MATCH('3. School Dashboard'!$D$5,Table1[Name of School Facility],0))</f>
        <v>Yes</v>
      </c>
    </row>
    <row r="13" spans="1:9" s="2" customFormat="1" ht="18" customHeight="1">
      <c r="A13" s="1"/>
      <c r="B13" s="181" t="s">
        <v>11</v>
      </c>
      <c r="C13" s="182"/>
      <c r="D13" s="182"/>
      <c r="E13" s="46" t="str">
        <f>IF(AND(I13="NA", $D$7="Non-Mechanical Ventilation (Natural Ventilation / Exhaust Only)"),"Not Applicable", "")</f>
        <v/>
      </c>
      <c r="F13" s="8">
        <f>IF(I13="NA",-1,IF(I13="Yes",1,0))</f>
        <v>1</v>
      </c>
      <c r="I13" s="45" t="str">
        <f>INDEX(Table1[Increased frequency of filter changes],MATCH('3. School Dashboard'!$D$5,Table1[Name of School Facility],0))</f>
        <v>Yes</v>
      </c>
    </row>
    <row r="14" spans="1:9" ht="18" customHeight="1">
      <c r="B14" s="181" t="s">
        <v>12</v>
      </c>
      <c r="C14" s="182"/>
      <c r="D14" s="182"/>
      <c r="E14" s="46" t="str">
        <f>IF(AND(I14="NA", $D$7="Non-Mechanical Ventilation (Natural Ventilation / Exhaust Only)"),"Not Applicable", "")</f>
        <v/>
      </c>
      <c r="F14" s="8">
        <f>IF(I14="NA",-1,IF(I14="Yes",1,0))</f>
        <v>1</v>
      </c>
      <c r="G14" s="10"/>
      <c r="I14" s="45" t="str">
        <f>INDEX(Table1[Increased fresh air intake (windows and/or mechanical ventilation systems)],MATCH('3. School Dashboard'!$D$5,Table1[Name of School Facility],0))</f>
        <v>Yes</v>
      </c>
    </row>
    <row r="15" spans="1:9" ht="18" customHeight="1">
      <c r="B15" s="181" t="s">
        <v>13</v>
      </c>
      <c r="C15" s="182"/>
      <c r="D15" s="182"/>
      <c r="E15" s="46" t="str">
        <f>IF(I15="NA", "Not Applicable", "")</f>
        <v/>
      </c>
      <c r="F15" s="81">
        <f>IF(I15="NA",-1,IF(I15="Yes",1,0))</f>
        <v>1</v>
      </c>
      <c r="G15" s="10"/>
      <c r="I15" s="45" t="str">
        <f>INDEX(Table1[HEPA units deployed in portables, as needed ],MATCH('3. School Dashboard'!$D$5,Table1[Name of School Facility],0))</f>
        <v>Yes</v>
      </c>
    </row>
    <row r="16" spans="1:9" ht="18" customHeight="1">
      <c r="B16" s="179" t="s">
        <v>14</v>
      </c>
      <c r="C16" s="180"/>
      <c r="D16" s="180"/>
      <c r="E16" s="180"/>
      <c r="F16" s="84">
        <f>INDEX(Table1[Standalone HEPA filter units in place],MATCH('3. School Dashboard'!$D$5,Table1[Name of School Facility],0))</f>
        <v>15</v>
      </c>
      <c r="G16" s="11"/>
      <c r="I16" s="45">
        <f>INDEX(Table1[Standalone HEPA filter units in place],MATCH('3. School Dashboard'!$D$5,Table1[Name of School Facility],0))</f>
        <v>15</v>
      </c>
    </row>
    <row r="17" spans="2:2" ht="27" customHeight="1">
      <c r="B17" s="90" t="s">
        <v>15</v>
      </c>
    </row>
    <row r="18" spans="2:2">
      <c r="B18" s="91" t="s">
        <v>16</v>
      </c>
    </row>
    <row r="26" spans="2:2" ht="3.95" hidden="1" customHeight="1"/>
  </sheetData>
  <sheetProtection algorithmName="SHA-512" hashValue="cVmHUMgioNlOp33uvUVyRN02D0h1jc5bJc9CqjHJMzIs6wAry7HPW3xtK3f38/3tEH8Nyvuni8LephrmVJplYw==" saltValue="j1N1nxiGhKg7Dygp4tTL5g==" spinCount="100000" sheet="1" selectLockedCells="1"/>
  <mergeCells count="10">
    <mergeCell ref="B2:F2"/>
    <mergeCell ref="B5:C5"/>
    <mergeCell ref="B9:F9"/>
    <mergeCell ref="B10:D10"/>
    <mergeCell ref="B11:D11"/>
    <mergeCell ref="B16:E16"/>
    <mergeCell ref="B12:D12"/>
    <mergeCell ref="B13:D13"/>
    <mergeCell ref="B14:D14"/>
    <mergeCell ref="B15:D15"/>
  </mergeCells>
  <conditionalFormatting sqref="I10">
    <cfRule type="iconSet" priority="10">
      <iconSet iconSet="3Symbols2">
        <cfvo type="percent" val="0"/>
        <cfvo type="percent" val="33"/>
        <cfvo type="percent" val="67"/>
      </iconSet>
    </cfRule>
  </conditionalFormatting>
  <conditionalFormatting sqref="I11">
    <cfRule type="iconSet" priority="7">
      <iconSet iconSet="3Symbols2">
        <cfvo type="percent" val="0"/>
        <cfvo type="percent" val="33"/>
        <cfvo type="percent" val="67"/>
      </iconSet>
    </cfRule>
  </conditionalFormatting>
  <conditionalFormatting sqref="I12">
    <cfRule type="iconSet" priority="6">
      <iconSet iconSet="3Symbols2">
        <cfvo type="percent" val="0"/>
        <cfvo type="percent" val="33"/>
        <cfvo type="percent" val="67"/>
      </iconSet>
    </cfRule>
  </conditionalFormatting>
  <conditionalFormatting sqref="I13">
    <cfRule type="iconSet" priority="5">
      <iconSet iconSet="3Symbols2">
        <cfvo type="percent" val="0"/>
        <cfvo type="percent" val="33"/>
        <cfvo type="percent" val="67"/>
      </iconSet>
    </cfRule>
  </conditionalFormatting>
  <conditionalFormatting sqref="I14">
    <cfRule type="iconSet" priority="4">
      <iconSet iconSet="3Symbols2">
        <cfvo type="percent" val="0"/>
        <cfvo type="percent" val="33"/>
        <cfvo type="percent" val="67"/>
      </iconSet>
    </cfRule>
  </conditionalFormatting>
  <conditionalFormatting sqref="I15">
    <cfRule type="iconSet" priority="3">
      <iconSet iconSet="3Symbols2">
        <cfvo type="percent" val="0"/>
        <cfvo type="percent" val="33"/>
        <cfvo type="percent" val="67"/>
      </iconSet>
    </cfRule>
  </conditionalFormatting>
  <dataValidations count="1">
    <dataValidation type="list" allowBlank="1" showInputMessage="1" showErrorMessage="1" sqref="D5" xr:uid="{DCF4BBB6-608A-4CCD-9D43-872F35D354B7}">
      <formula1>School_Name</formula1>
    </dataValidation>
  </dataValidations>
  <pageMargins left="0.7" right="0.7" top="0.75" bottom="0.75" header="0.3" footer="0.3"/>
  <pageSetup scale="81"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2" id="{00000000-000E-0000-0300-000003000000}">
            <x14:iconSet iconSet="3Symbols2" custom="1">
              <x14:cfvo type="percent">
                <xm:f>0</xm:f>
              </x14:cfvo>
              <x14:cfvo type="num">
                <xm:f>0</xm:f>
              </x14:cfvo>
              <x14:cfvo type="num">
                <xm:f>1</xm:f>
              </x14:cfvo>
              <x14:cfIcon iconSet="NoIcons" iconId="0"/>
              <x14:cfIcon iconSet="NoIcons" iconId="0"/>
              <x14:cfIcon iconSet="3Symbols2" iconId="2"/>
            </x14:iconSet>
          </x14:cfRule>
          <xm:sqref>F10:G15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C534-5EFF-43C7-9F22-C8B271C9D98E}">
  <sheetPr codeName="Sheet5">
    <tabColor theme="7" tint="0.79998168889431442"/>
    <pageSetUpPr fitToPage="1"/>
  </sheetPr>
  <dimension ref="A1:R29"/>
  <sheetViews>
    <sheetView topLeftCell="A9" zoomScaleNormal="100" workbookViewId="0">
      <selection activeCell="I23" sqref="I23"/>
    </sheetView>
  </sheetViews>
  <sheetFormatPr defaultRowHeight="14.25"/>
  <cols>
    <col min="1" max="1" width="6.1328125" style="35" customWidth="1"/>
    <col min="2" max="2" width="62.3984375" style="21" customWidth="1"/>
    <col min="3" max="3" width="57.86328125" customWidth="1"/>
    <col min="4" max="4" width="14" customWidth="1"/>
    <col min="5" max="17" width="15.86328125" customWidth="1"/>
  </cols>
  <sheetData>
    <row r="1" spans="1:18" ht="16.149999999999999" thickBot="1">
      <c r="A1" s="72" t="s">
        <v>17</v>
      </c>
      <c r="B1" s="33" t="s">
        <v>18</v>
      </c>
      <c r="C1" s="34" t="s">
        <v>19</v>
      </c>
    </row>
    <row r="2" spans="1:18" ht="18.399999999999999" thickBot="1">
      <c r="A2" s="17"/>
      <c r="B2" s="20"/>
      <c r="C2" s="13"/>
      <c r="F2" s="198" t="s">
        <v>20</v>
      </c>
      <c r="G2" s="199"/>
    </row>
    <row r="3" spans="1:18">
      <c r="A3" s="23"/>
      <c r="B3" s="24" t="s">
        <v>21</v>
      </c>
      <c r="C3" s="25"/>
      <c r="F3" s="98"/>
      <c r="G3" s="99" t="s">
        <v>22</v>
      </c>
    </row>
    <row r="4" spans="1:18" ht="14.65" thickBot="1">
      <c r="A4" s="17"/>
      <c r="B4" s="20"/>
      <c r="F4" s="100"/>
      <c r="G4" s="101" t="s">
        <v>23</v>
      </c>
    </row>
    <row r="5" spans="1:18">
      <c r="A5" s="17">
        <v>1</v>
      </c>
      <c r="B5" s="20" t="s">
        <v>24</v>
      </c>
      <c r="C5" s="22" t="s">
        <v>25</v>
      </c>
      <c r="D5" s="66" t="s">
        <v>26</v>
      </c>
      <c r="E5" s="82"/>
    </row>
    <row r="6" spans="1:18">
      <c r="B6" s="20"/>
    </row>
    <row r="7" spans="1:18">
      <c r="A7" s="17">
        <v>2</v>
      </c>
      <c r="B7" s="20" t="s">
        <v>27</v>
      </c>
    </row>
    <row r="8" spans="1:18" ht="28.5">
      <c r="A8" s="55">
        <v>2.1</v>
      </c>
      <c r="C8" s="83" t="s">
        <v>257</v>
      </c>
      <c r="D8" s="66" t="s">
        <v>28</v>
      </c>
    </row>
    <row r="9" spans="1:18" ht="28.5">
      <c r="A9" s="62">
        <v>2.2000000000000002</v>
      </c>
      <c r="C9" s="83" t="s">
        <v>258</v>
      </c>
      <c r="D9" s="66" t="s">
        <v>28</v>
      </c>
    </row>
    <row r="10" spans="1:18">
      <c r="A10" s="62">
        <v>2.2999999999999998</v>
      </c>
      <c r="C10" s="83" t="s">
        <v>259</v>
      </c>
      <c r="D10" s="66" t="s">
        <v>28</v>
      </c>
    </row>
    <row r="11" spans="1:18" ht="28.5">
      <c r="A11" s="62">
        <v>2.4</v>
      </c>
      <c r="C11" s="83" t="s">
        <v>260</v>
      </c>
      <c r="D11" s="66" t="s">
        <v>28</v>
      </c>
    </row>
    <row r="12" spans="1:18">
      <c r="A12" s="17"/>
      <c r="B12" s="20"/>
    </row>
    <row r="13" spans="1:18">
      <c r="A13" s="23"/>
      <c r="B13" s="24" t="s">
        <v>29</v>
      </c>
      <c r="C13" s="25"/>
    </row>
    <row r="14" spans="1:18" ht="14.65" thickBot="1">
      <c r="A14" s="17"/>
      <c r="B14" s="20"/>
      <c r="R14" s="47"/>
    </row>
    <row r="15" spans="1:18" ht="14.65" thickBot="1">
      <c r="A15" s="50">
        <v>3</v>
      </c>
      <c r="B15" s="49" t="s">
        <v>30</v>
      </c>
      <c r="C15" s="48"/>
      <c r="E15" s="189" t="s">
        <v>31</v>
      </c>
      <c r="F15" s="190"/>
      <c r="G15" s="190"/>
      <c r="H15" s="190"/>
      <c r="I15" s="190"/>
      <c r="J15" s="190"/>
      <c r="K15" s="190"/>
      <c r="L15" s="190"/>
      <c r="M15" s="190"/>
      <c r="N15" s="190"/>
      <c r="O15" s="190"/>
      <c r="P15" s="190"/>
      <c r="Q15" s="191"/>
    </row>
    <row r="16" spans="1:18">
      <c r="E16" s="192" t="s">
        <v>32</v>
      </c>
      <c r="F16" s="193"/>
      <c r="G16" s="193"/>
      <c r="H16" s="193"/>
      <c r="I16" s="193"/>
      <c r="J16" s="194"/>
      <c r="K16" s="195" t="s">
        <v>33</v>
      </c>
      <c r="L16" s="196"/>
      <c r="M16" s="196"/>
      <c r="N16" s="196"/>
      <c r="O16" s="196"/>
      <c r="P16" s="196"/>
      <c r="Q16" s="197"/>
    </row>
    <row r="17" spans="1:17" ht="57">
      <c r="C17" s="66" t="s">
        <v>34</v>
      </c>
      <c r="E17" s="58" t="s">
        <v>35</v>
      </c>
      <c r="F17" s="59" t="s">
        <v>35</v>
      </c>
      <c r="G17" s="92" t="s">
        <v>36</v>
      </c>
      <c r="H17" s="92" t="s">
        <v>37</v>
      </c>
      <c r="I17" s="92" t="s">
        <v>38</v>
      </c>
      <c r="J17" s="93" t="s">
        <v>39</v>
      </c>
      <c r="K17" s="65" t="s">
        <v>40</v>
      </c>
      <c r="L17" s="60" t="s">
        <v>41</v>
      </c>
      <c r="M17" s="77" t="s">
        <v>42</v>
      </c>
      <c r="N17" s="92" t="s">
        <v>37</v>
      </c>
      <c r="O17" s="92" t="s">
        <v>38</v>
      </c>
      <c r="P17" s="92" t="s">
        <v>36</v>
      </c>
      <c r="Q17" s="93" t="s">
        <v>39</v>
      </c>
    </row>
    <row r="18" spans="1:17" ht="30" customHeight="1">
      <c r="A18" s="61">
        <v>3.1</v>
      </c>
      <c r="B18" s="20" t="s">
        <v>43</v>
      </c>
      <c r="C18" s="63">
        <f>SUM(E18:J18)/1000000</f>
        <v>6.7918437763840007</v>
      </c>
      <c r="D18" s="66"/>
      <c r="E18" s="94">
        <f>INDEX('Funding Tables'!$Q$3:$Q$78,MATCH('4. Board Level Worksheet'!$C$5,'Funding Tables'!$C$3:$C$78,0))*1000000</f>
        <v>354400</v>
      </c>
      <c r="F18" s="94">
        <f>INDEX('Funding Tables'!$R$3:$R$78,MATCH('4. Board Level Worksheet'!$C$5,'Funding Tables'!$C$3:$C$78,0))*1000000</f>
        <v>354400</v>
      </c>
      <c r="G18" s="95">
        <f>+'supporting docs'!J147</f>
        <v>3935345.4580880003</v>
      </c>
      <c r="H18" s="95">
        <f>+'supporting docs'!H147</f>
        <v>706347.68629600003</v>
      </c>
      <c r="I18" s="95">
        <f>+'supporting docs'!I147</f>
        <v>1289376.1720000003</v>
      </c>
      <c r="J18" s="95">
        <f>+'supporting docs'!K147</f>
        <v>151974.46</v>
      </c>
      <c r="K18" s="56"/>
      <c r="L18" s="51"/>
      <c r="M18" s="51"/>
      <c r="N18" s="51"/>
      <c r="O18" s="51"/>
      <c r="P18" s="51"/>
      <c r="Q18" s="52"/>
    </row>
    <row r="19" spans="1:17" ht="30" customHeight="1" thickBot="1">
      <c r="A19" s="61">
        <v>3.2</v>
      </c>
      <c r="B19" s="20" t="s">
        <v>44</v>
      </c>
      <c r="C19" s="63">
        <f>SUM(K19:Q19)/1000000</f>
        <v>2.2019929999999999</v>
      </c>
      <c r="D19" s="66"/>
      <c r="E19" s="53"/>
      <c r="F19" s="54"/>
      <c r="G19" s="54"/>
      <c r="H19" s="54"/>
      <c r="I19" s="54"/>
      <c r="J19" s="57"/>
      <c r="K19" s="96">
        <f>INDEX('Funding Tables'!$S$3:$S$78,MATCH('4. Board Level Worksheet'!$C$5,'Funding Tables'!$C$3:$C$78,0))*1000000</f>
        <v>192184</v>
      </c>
      <c r="L19" s="96">
        <f>INDEX('Funding Tables'!$T$3:$T$78,MATCH('4. Board Level Worksheet'!$C$5,'Funding Tables'!$C$3:$C$78,0))*1000000</f>
        <v>30000</v>
      </c>
      <c r="M19" s="96">
        <f>INDEX('Funding Tables'!$V$3:$V$78,MATCH('4. Board Level Worksheet'!$C$5,'Funding Tables'!$C$3:$C$78,0))*1000000</f>
        <v>178000</v>
      </c>
      <c r="N19" s="95" t="s">
        <v>45</v>
      </c>
      <c r="O19" s="95">
        <f>+'supporting docs'!S147</f>
        <v>1475000</v>
      </c>
      <c r="P19" s="95">
        <f>+'supporting docs'!R147</f>
        <v>326809</v>
      </c>
      <c r="Q19" s="95" t="s">
        <v>45</v>
      </c>
    </row>
    <row r="21" spans="1:17">
      <c r="A21" s="17">
        <v>3.3</v>
      </c>
      <c r="B21" s="64" t="s">
        <v>46</v>
      </c>
      <c r="C21" s="26">
        <v>34</v>
      </c>
      <c r="D21" s="66" t="s">
        <v>28</v>
      </c>
    </row>
    <row r="22" spans="1:17">
      <c r="A22" s="17">
        <v>3.4</v>
      </c>
      <c r="B22" s="64" t="s">
        <v>47</v>
      </c>
      <c r="C22" s="26">
        <v>20</v>
      </c>
      <c r="D22" s="66" t="s">
        <v>28</v>
      </c>
    </row>
    <row r="23" spans="1:17">
      <c r="A23" s="17">
        <v>3.5</v>
      </c>
      <c r="B23" s="64" t="s">
        <v>48</v>
      </c>
      <c r="C23" s="88">
        <f>IFERROR(C22/ROWS(Table1[Name of School Facility]),"")</f>
        <v>0.52631578947368418</v>
      </c>
      <c r="D23" s="66" t="s">
        <v>49</v>
      </c>
    </row>
    <row r="24" spans="1:17">
      <c r="A24" s="17">
        <v>3.6</v>
      </c>
      <c r="B24" s="64" t="s">
        <v>50</v>
      </c>
      <c r="C24" s="26">
        <v>7</v>
      </c>
      <c r="D24" s="66" t="s">
        <v>28</v>
      </c>
    </row>
    <row r="25" spans="1:17">
      <c r="A25" s="17">
        <v>3.7</v>
      </c>
      <c r="B25" s="64" t="s">
        <v>51</v>
      </c>
      <c r="C25" s="26">
        <v>7</v>
      </c>
      <c r="D25" s="66" t="s">
        <v>28</v>
      </c>
    </row>
    <row r="26" spans="1:17">
      <c r="A26" s="17">
        <v>3.8</v>
      </c>
      <c r="B26" s="64" t="s">
        <v>52</v>
      </c>
      <c r="C26" s="88">
        <f>IFERROR(C25/ROWS(Table1[Name of School Facility]),"")</f>
        <v>0.18421052631578946</v>
      </c>
      <c r="D26" s="66" t="s">
        <v>49</v>
      </c>
    </row>
    <row r="27" spans="1:17">
      <c r="A27" s="17"/>
      <c r="B27" s="20"/>
      <c r="C27" s="21"/>
      <c r="D27" s="66"/>
    </row>
    <row r="28" spans="1:17">
      <c r="A28" s="50">
        <v>4</v>
      </c>
      <c r="B28" s="49" t="s">
        <v>53</v>
      </c>
      <c r="C28" s="85">
        <v>207</v>
      </c>
      <c r="D28" s="66" t="s">
        <v>28</v>
      </c>
    </row>
    <row r="29" spans="1:17">
      <c r="C29" t="s">
        <v>54</v>
      </c>
    </row>
  </sheetData>
  <mergeCells count="4">
    <mergeCell ref="E15:Q15"/>
    <mergeCell ref="E16:J16"/>
    <mergeCell ref="K16:Q16"/>
    <mergeCell ref="F2:G2"/>
  </mergeCells>
  <dataValidations count="1">
    <dataValidation operator="lessThan" allowBlank="1" showInputMessage="1" showErrorMessage="1" sqref="E8 C8" xr:uid="{25D9E677-DE32-483F-AF8A-24038D659400}"/>
  </dataValidations>
  <pageMargins left="0.7" right="0.7" top="0.75" bottom="0.75" header="0.3" footer="0.3"/>
  <pageSetup scale="2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AEB7B65-5C6D-4C09-A49F-8E0DD2444495}">
          <x14:formula1>
            <xm:f>'Funding Tables'!$C$2:$C$78</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5F74A-DE88-40F0-9687-4C5F57E69174}">
  <sheetPr codeName="Sheet6">
    <tabColor theme="7" tint="0.79998168889431442"/>
    <pageSetUpPr fitToPage="1"/>
  </sheetPr>
  <dimension ref="A1:K45"/>
  <sheetViews>
    <sheetView zoomScale="110" zoomScaleNormal="110" workbookViewId="0">
      <selection activeCell="C25" sqref="C25"/>
    </sheetView>
  </sheetViews>
  <sheetFormatPr defaultRowHeight="14.25"/>
  <cols>
    <col min="1" max="1" width="33.59765625" customWidth="1"/>
    <col min="2" max="2" width="13" customWidth="1"/>
    <col min="3" max="3" width="30.86328125" style="28" customWidth="1"/>
    <col min="4" max="4" width="20.86328125" style="28" customWidth="1"/>
    <col min="5" max="5" width="32" style="28" customWidth="1"/>
    <col min="6" max="6" width="26.265625" style="28" customWidth="1"/>
    <col min="7" max="7" width="32.3984375" style="28" customWidth="1"/>
    <col min="8" max="8" width="46.73046875" style="28" customWidth="1"/>
    <col min="9" max="9" width="41.1328125" style="28" customWidth="1"/>
    <col min="10" max="10" width="9.1328125" style="28" customWidth="1"/>
    <col min="11" max="11" width="10.3984375" style="28" bestFit="1" customWidth="1"/>
    <col min="14" max="14" width="29.3984375" customWidth="1"/>
    <col min="23" max="23" width="32.86328125" customWidth="1"/>
  </cols>
  <sheetData>
    <row r="1" spans="1:11" ht="15.75">
      <c r="A1" s="73" t="s">
        <v>55</v>
      </c>
    </row>
    <row r="2" spans="1:11" s="27" customFormat="1" ht="57">
      <c r="A2" s="97" t="s">
        <v>56</v>
      </c>
      <c r="B2" s="29"/>
      <c r="C2" s="30" t="s">
        <v>57</v>
      </c>
      <c r="D2" s="31" t="s">
        <v>58</v>
      </c>
      <c r="E2" s="31" t="s">
        <v>58</v>
      </c>
      <c r="F2" s="31" t="s">
        <v>58</v>
      </c>
      <c r="G2" s="31" t="s">
        <v>58</v>
      </c>
      <c r="H2" s="31" t="s">
        <v>58</v>
      </c>
      <c r="I2" s="31" t="s">
        <v>58</v>
      </c>
      <c r="J2" s="31" t="s">
        <v>59</v>
      </c>
    </row>
    <row r="3" spans="1:11" ht="14.65" thickBot="1">
      <c r="K3"/>
    </row>
    <row r="4" spans="1:11" ht="14.65" thickBot="1">
      <c r="A4" s="36" t="s">
        <v>60</v>
      </c>
      <c r="B4" s="37"/>
      <c r="C4" s="38"/>
      <c r="D4" s="39" t="s">
        <v>61</v>
      </c>
      <c r="E4" s="40"/>
      <c r="F4" s="40"/>
      <c r="G4" s="40"/>
      <c r="H4" s="40"/>
      <c r="I4" s="40"/>
      <c r="J4" s="40"/>
      <c r="K4"/>
    </row>
    <row r="5" spans="1:11" s="32" customFormat="1" ht="57.4" thickBot="1">
      <c r="A5" s="41" t="s">
        <v>62</v>
      </c>
      <c r="B5" s="42" t="s">
        <v>63</v>
      </c>
      <c r="C5" s="42" t="s">
        <v>64</v>
      </c>
      <c r="D5" s="43" t="s">
        <v>8</v>
      </c>
      <c r="E5" s="74" t="s">
        <v>9</v>
      </c>
      <c r="F5" s="44" t="s">
        <v>10</v>
      </c>
      <c r="G5" s="44" t="s">
        <v>11</v>
      </c>
      <c r="H5" s="74" t="s">
        <v>12</v>
      </c>
      <c r="I5" s="44" t="s">
        <v>65</v>
      </c>
      <c r="J5" s="44" t="s">
        <v>14</v>
      </c>
      <c r="K5" s="89" t="s">
        <v>66</v>
      </c>
    </row>
    <row r="6" spans="1:11" s="103" customFormat="1">
      <c r="A6" s="103" t="s">
        <v>67</v>
      </c>
      <c r="B6" s="103" t="s">
        <v>68</v>
      </c>
      <c r="C6" s="104" t="s">
        <v>69</v>
      </c>
      <c r="D6" s="104" t="s">
        <v>70</v>
      </c>
      <c r="E6" s="104" t="s">
        <v>70</v>
      </c>
      <c r="F6" s="104" t="s">
        <v>70</v>
      </c>
      <c r="G6" s="104" t="s">
        <v>70</v>
      </c>
      <c r="H6" s="104" t="s">
        <v>70</v>
      </c>
      <c r="I6" s="104" t="s">
        <v>70</v>
      </c>
      <c r="J6" s="104">
        <v>15</v>
      </c>
      <c r="K6" s="104">
        <v>52</v>
      </c>
    </row>
    <row r="7" spans="1:11">
      <c r="A7" t="s">
        <v>71</v>
      </c>
      <c r="B7" t="s">
        <v>72</v>
      </c>
      <c r="C7" s="28" t="s">
        <v>73</v>
      </c>
      <c r="D7" s="28" t="s">
        <v>70</v>
      </c>
      <c r="E7" s="28" t="s">
        <v>70</v>
      </c>
      <c r="F7" s="28" t="s">
        <v>70</v>
      </c>
      <c r="G7" s="28" t="s">
        <v>70</v>
      </c>
      <c r="H7" s="28" t="s">
        <v>70</v>
      </c>
      <c r="I7" s="28" t="s">
        <v>70</v>
      </c>
      <c r="J7" s="28">
        <v>6</v>
      </c>
      <c r="K7" s="28">
        <v>52</v>
      </c>
    </row>
    <row r="8" spans="1:11">
      <c r="A8" t="s">
        <v>74</v>
      </c>
      <c r="B8" t="s">
        <v>75</v>
      </c>
      <c r="C8" s="28" t="s">
        <v>73</v>
      </c>
      <c r="D8" s="28" t="s">
        <v>70</v>
      </c>
      <c r="E8" s="28" t="s">
        <v>70</v>
      </c>
      <c r="F8" s="28" t="s">
        <v>70</v>
      </c>
      <c r="G8" s="28" t="s">
        <v>70</v>
      </c>
      <c r="H8" s="28" t="s">
        <v>70</v>
      </c>
      <c r="I8" s="28" t="s">
        <v>70</v>
      </c>
      <c r="J8" s="28">
        <v>4</v>
      </c>
      <c r="K8" s="28">
        <v>52</v>
      </c>
    </row>
    <row r="9" spans="1:11">
      <c r="A9" t="s">
        <v>76</v>
      </c>
      <c r="B9" t="s">
        <v>77</v>
      </c>
      <c r="C9" s="28" t="s">
        <v>73</v>
      </c>
      <c r="D9" s="28" t="s">
        <v>70</v>
      </c>
      <c r="E9" s="28" t="s">
        <v>70</v>
      </c>
      <c r="F9" s="28" t="s">
        <v>70</v>
      </c>
      <c r="G9" s="28" t="s">
        <v>70</v>
      </c>
      <c r="H9" s="28" t="s">
        <v>70</v>
      </c>
      <c r="I9" s="28" t="s">
        <v>70</v>
      </c>
      <c r="J9" s="28">
        <v>7</v>
      </c>
      <c r="K9" s="28">
        <v>52</v>
      </c>
    </row>
    <row r="10" spans="1:11">
      <c r="A10" t="s">
        <v>78</v>
      </c>
      <c r="B10" t="s">
        <v>79</v>
      </c>
      <c r="C10" s="28" t="s">
        <v>73</v>
      </c>
      <c r="D10" s="28" t="s">
        <v>70</v>
      </c>
      <c r="E10" s="28" t="s">
        <v>70</v>
      </c>
      <c r="F10" s="28" t="s">
        <v>70</v>
      </c>
      <c r="G10" s="28" t="s">
        <v>70</v>
      </c>
      <c r="H10" s="28" t="s">
        <v>70</v>
      </c>
      <c r="I10" s="28" t="s">
        <v>80</v>
      </c>
      <c r="J10" s="28">
        <v>2</v>
      </c>
      <c r="K10" s="28">
        <v>52</v>
      </c>
    </row>
    <row r="11" spans="1:11" s="103" customFormat="1">
      <c r="A11" s="103" t="s">
        <v>81</v>
      </c>
      <c r="B11" s="103" t="s">
        <v>82</v>
      </c>
      <c r="C11" s="104" t="s">
        <v>73</v>
      </c>
      <c r="D11" s="104" t="s">
        <v>70</v>
      </c>
      <c r="E11" s="104" t="s">
        <v>70</v>
      </c>
      <c r="F11" s="104" t="s">
        <v>70</v>
      </c>
      <c r="G11" s="104" t="s">
        <v>70</v>
      </c>
      <c r="H11" s="104" t="s">
        <v>70</v>
      </c>
      <c r="I11" s="104" t="s">
        <v>70</v>
      </c>
      <c r="J11" s="104">
        <v>8</v>
      </c>
      <c r="K11" s="104">
        <v>52</v>
      </c>
    </row>
    <row r="12" spans="1:11">
      <c r="A12" t="s">
        <v>83</v>
      </c>
      <c r="B12" t="s">
        <v>84</v>
      </c>
      <c r="C12" s="28" t="s">
        <v>73</v>
      </c>
      <c r="D12" s="28" t="s">
        <v>70</v>
      </c>
      <c r="E12" s="28" t="s">
        <v>70</v>
      </c>
      <c r="F12" s="28" t="s">
        <v>70</v>
      </c>
      <c r="G12" s="28" t="s">
        <v>70</v>
      </c>
      <c r="H12" s="28" t="s">
        <v>70</v>
      </c>
      <c r="I12" s="28" t="s">
        <v>70</v>
      </c>
      <c r="J12" s="28">
        <v>11</v>
      </c>
      <c r="K12" s="28">
        <v>52</v>
      </c>
    </row>
    <row r="13" spans="1:11">
      <c r="A13" t="s">
        <v>85</v>
      </c>
      <c r="B13" t="s">
        <v>86</v>
      </c>
      <c r="C13" s="28" t="s">
        <v>73</v>
      </c>
      <c r="D13" s="28" t="s">
        <v>70</v>
      </c>
      <c r="E13" s="28" t="s">
        <v>70</v>
      </c>
      <c r="F13" s="28" t="s">
        <v>70</v>
      </c>
      <c r="G13" s="28" t="s">
        <v>70</v>
      </c>
      <c r="H13" s="28" t="s">
        <v>70</v>
      </c>
      <c r="I13" s="28" t="s">
        <v>80</v>
      </c>
      <c r="J13" s="28">
        <v>1</v>
      </c>
      <c r="K13" s="28">
        <v>52</v>
      </c>
    </row>
    <row r="14" spans="1:11">
      <c r="A14" t="s">
        <v>87</v>
      </c>
      <c r="B14" t="s">
        <v>88</v>
      </c>
      <c r="C14" s="28" t="s">
        <v>73</v>
      </c>
      <c r="D14" s="28" t="s">
        <v>70</v>
      </c>
      <c r="E14" s="28" t="s">
        <v>70</v>
      </c>
      <c r="F14" s="28" t="s">
        <v>70</v>
      </c>
      <c r="G14" s="28" t="s">
        <v>70</v>
      </c>
      <c r="H14" s="28" t="s">
        <v>70</v>
      </c>
      <c r="I14" s="28" t="s">
        <v>80</v>
      </c>
      <c r="J14" s="28">
        <v>3</v>
      </c>
      <c r="K14" s="28">
        <v>52</v>
      </c>
    </row>
    <row r="15" spans="1:11">
      <c r="A15" t="s">
        <v>89</v>
      </c>
      <c r="B15" t="s">
        <v>90</v>
      </c>
      <c r="C15" s="28" t="s">
        <v>73</v>
      </c>
      <c r="D15" s="28" t="s">
        <v>70</v>
      </c>
      <c r="E15" s="28" t="s">
        <v>70</v>
      </c>
      <c r="F15" s="28" t="s">
        <v>70</v>
      </c>
      <c r="G15" s="28" t="s">
        <v>70</v>
      </c>
      <c r="H15" s="28" t="s">
        <v>70</v>
      </c>
      <c r="I15" s="28" t="s">
        <v>70</v>
      </c>
      <c r="J15" s="28">
        <v>7</v>
      </c>
      <c r="K15" s="28">
        <v>52</v>
      </c>
    </row>
    <row r="16" spans="1:11">
      <c r="A16" t="s">
        <v>91</v>
      </c>
      <c r="B16" t="s">
        <v>92</v>
      </c>
      <c r="C16" s="28" t="s">
        <v>73</v>
      </c>
      <c r="D16" s="28" t="s">
        <v>70</v>
      </c>
      <c r="E16" s="28" t="s">
        <v>70</v>
      </c>
      <c r="F16" s="28" t="s">
        <v>70</v>
      </c>
      <c r="G16" s="28" t="s">
        <v>70</v>
      </c>
      <c r="H16" s="28" t="s">
        <v>70</v>
      </c>
      <c r="I16" s="28" t="s">
        <v>70</v>
      </c>
      <c r="J16" s="28">
        <v>4</v>
      </c>
      <c r="K16" s="28">
        <v>52</v>
      </c>
    </row>
    <row r="17" spans="1:11" s="103" customFormat="1">
      <c r="A17" s="103" t="s">
        <v>93</v>
      </c>
      <c r="B17" s="103" t="s">
        <v>94</v>
      </c>
      <c r="C17" s="104" t="s">
        <v>69</v>
      </c>
      <c r="D17" s="104" t="s">
        <v>70</v>
      </c>
      <c r="E17" s="104" t="s">
        <v>70</v>
      </c>
      <c r="F17" s="104" t="s">
        <v>70</v>
      </c>
      <c r="G17" s="104" t="s">
        <v>70</v>
      </c>
      <c r="H17" s="104" t="s">
        <v>70</v>
      </c>
      <c r="I17" s="104" t="s">
        <v>70</v>
      </c>
      <c r="J17" s="104">
        <v>9</v>
      </c>
      <c r="K17" s="104">
        <v>52</v>
      </c>
    </row>
    <row r="18" spans="1:11" s="103" customFormat="1">
      <c r="A18" s="103" t="s">
        <v>95</v>
      </c>
      <c r="B18" s="103" t="s">
        <v>96</v>
      </c>
      <c r="C18" s="104" t="s">
        <v>69</v>
      </c>
      <c r="D18" s="104" t="s">
        <v>70</v>
      </c>
      <c r="E18" s="104" t="s">
        <v>70</v>
      </c>
      <c r="F18" s="104" t="s">
        <v>70</v>
      </c>
      <c r="G18" s="104" t="s">
        <v>70</v>
      </c>
      <c r="H18" s="104" t="s">
        <v>70</v>
      </c>
      <c r="I18" s="104" t="s">
        <v>70</v>
      </c>
      <c r="J18" s="104">
        <v>8</v>
      </c>
      <c r="K18" s="104">
        <v>52</v>
      </c>
    </row>
    <row r="19" spans="1:11" s="103" customFormat="1">
      <c r="A19" s="103" t="s">
        <v>97</v>
      </c>
      <c r="B19" s="103" t="s">
        <v>98</v>
      </c>
      <c r="C19" s="104" t="s">
        <v>73</v>
      </c>
      <c r="D19" s="104" t="s">
        <v>70</v>
      </c>
      <c r="E19" s="104" t="s">
        <v>70</v>
      </c>
      <c r="F19" s="104" t="s">
        <v>70</v>
      </c>
      <c r="G19" s="104" t="s">
        <v>70</v>
      </c>
      <c r="H19" s="104" t="s">
        <v>70</v>
      </c>
      <c r="I19" s="104" t="s">
        <v>70</v>
      </c>
      <c r="J19" s="104">
        <v>8</v>
      </c>
      <c r="K19" s="104">
        <v>52</v>
      </c>
    </row>
    <row r="20" spans="1:11" s="103" customFormat="1">
      <c r="A20" s="103" t="s">
        <v>99</v>
      </c>
      <c r="B20" s="103" t="s">
        <v>100</v>
      </c>
      <c r="C20" s="104" t="s">
        <v>69</v>
      </c>
      <c r="D20" s="104" t="s">
        <v>70</v>
      </c>
      <c r="E20" s="104" t="s">
        <v>70</v>
      </c>
      <c r="F20" s="104" t="s">
        <v>70</v>
      </c>
      <c r="G20" s="104" t="s">
        <v>70</v>
      </c>
      <c r="H20" s="104" t="s">
        <v>70</v>
      </c>
      <c r="I20" s="104" t="s">
        <v>70</v>
      </c>
      <c r="J20" s="104">
        <v>10</v>
      </c>
      <c r="K20" s="104">
        <v>52</v>
      </c>
    </row>
    <row r="21" spans="1:11">
      <c r="A21" t="s">
        <v>101</v>
      </c>
      <c r="B21" t="s">
        <v>102</v>
      </c>
      <c r="C21" s="28" t="s">
        <v>73</v>
      </c>
      <c r="D21" s="28" t="s">
        <v>70</v>
      </c>
      <c r="E21" s="28" t="s">
        <v>70</v>
      </c>
      <c r="F21" s="28" t="s">
        <v>70</v>
      </c>
      <c r="G21" s="28" t="s">
        <v>70</v>
      </c>
      <c r="H21" s="28" t="s">
        <v>70</v>
      </c>
      <c r="I21" s="28" t="s">
        <v>80</v>
      </c>
      <c r="J21" s="28">
        <v>1</v>
      </c>
      <c r="K21" s="28">
        <v>52</v>
      </c>
    </row>
    <row r="22" spans="1:11">
      <c r="A22" t="s">
        <v>103</v>
      </c>
      <c r="B22" t="s">
        <v>104</v>
      </c>
      <c r="C22" s="28" t="s">
        <v>73</v>
      </c>
      <c r="D22" s="28" t="s">
        <v>70</v>
      </c>
      <c r="E22" s="28" t="s">
        <v>70</v>
      </c>
      <c r="F22" s="28" t="s">
        <v>70</v>
      </c>
      <c r="G22" s="28" t="s">
        <v>70</v>
      </c>
      <c r="H22" s="28" t="s">
        <v>70</v>
      </c>
      <c r="I22" s="28" t="s">
        <v>80</v>
      </c>
      <c r="J22" s="28">
        <v>5</v>
      </c>
      <c r="K22" s="28">
        <v>52</v>
      </c>
    </row>
    <row r="23" spans="1:11">
      <c r="A23" t="s">
        <v>105</v>
      </c>
      <c r="B23" t="s">
        <v>106</v>
      </c>
      <c r="C23" s="28" t="s">
        <v>73</v>
      </c>
      <c r="D23" s="28" t="s">
        <v>70</v>
      </c>
      <c r="E23" s="28" t="s">
        <v>70</v>
      </c>
      <c r="F23" s="28" t="s">
        <v>70</v>
      </c>
      <c r="G23" s="28" t="s">
        <v>70</v>
      </c>
      <c r="H23" s="28" t="s">
        <v>70</v>
      </c>
      <c r="I23" s="28" t="s">
        <v>80</v>
      </c>
      <c r="J23" s="28">
        <v>2</v>
      </c>
      <c r="K23" s="28">
        <v>52</v>
      </c>
    </row>
    <row r="24" spans="1:11">
      <c r="A24" t="s">
        <v>107</v>
      </c>
      <c r="B24" t="s">
        <v>108</v>
      </c>
      <c r="C24" s="28" t="s">
        <v>73</v>
      </c>
      <c r="D24" s="28" t="s">
        <v>70</v>
      </c>
      <c r="E24" s="28" t="s">
        <v>70</v>
      </c>
      <c r="F24" s="28" t="s">
        <v>70</v>
      </c>
      <c r="G24" s="28" t="s">
        <v>70</v>
      </c>
      <c r="H24" s="28" t="s">
        <v>70</v>
      </c>
      <c r="I24" s="28" t="s">
        <v>70</v>
      </c>
      <c r="J24" s="28">
        <v>15</v>
      </c>
      <c r="K24" s="28">
        <v>52</v>
      </c>
    </row>
    <row r="25" spans="1:11">
      <c r="A25" t="s">
        <v>109</v>
      </c>
      <c r="B25" t="s">
        <v>110</v>
      </c>
      <c r="C25" s="28" t="s">
        <v>73</v>
      </c>
      <c r="D25" s="28" t="s">
        <v>70</v>
      </c>
      <c r="E25" s="28" t="s">
        <v>70</v>
      </c>
      <c r="F25" s="28" t="s">
        <v>70</v>
      </c>
      <c r="G25" s="28" t="s">
        <v>70</v>
      </c>
      <c r="H25" s="28" t="s">
        <v>70</v>
      </c>
      <c r="I25" s="28" t="s">
        <v>70</v>
      </c>
      <c r="J25" s="28">
        <v>14</v>
      </c>
      <c r="K25" s="28">
        <v>52</v>
      </c>
    </row>
    <row r="26" spans="1:11">
      <c r="A26" t="s">
        <v>111</v>
      </c>
      <c r="B26" t="s">
        <v>112</v>
      </c>
      <c r="C26" s="28" t="s">
        <v>73</v>
      </c>
      <c r="D26" s="28" t="s">
        <v>70</v>
      </c>
      <c r="E26" s="28" t="s">
        <v>70</v>
      </c>
      <c r="F26" s="28" t="s">
        <v>70</v>
      </c>
      <c r="G26" s="28" t="s">
        <v>70</v>
      </c>
      <c r="H26" s="28" t="s">
        <v>70</v>
      </c>
      <c r="I26" s="28" t="s">
        <v>70</v>
      </c>
      <c r="J26" s="28">
        <v>5</v>
      </c>
      <c r="K26" s="28">
        <v>52</v>
      </c>
    </row>
    <row r="27" spans="1:11">
      <c r="A27" t="s">
        <v>113</v>
      </c>
      <c r="B27" t="s">
        <v>114</v>
      </c>
      <c r="C27" s="28" t="s">
        <v>73</v>
      </c>
      <c r="D27" s="28" t="s">
        <v>70</v>
      </c>
      <c r="E27" s="28" t="s">
        <v>70</v>
      </c>
      <c r="F27" s="28" t="s">
        <v>70</v>
      </c>
      <c r="G27" s="28" t="s">
        <v>70</v>
      </c>
      <c r="H27" s="28" t="s">
        <v>70</v>
      </c>
      <c r="I27" s="28" t="s">
        <v>70</v>
      </c>
      <c r="J27" s="28">
        <v>2</v>
      </c>
      <c r="K27" s="28">
        <v>52</v>
      </c>
    </row>
    <row r="28" spans="1:11">
      <c r="A28" t="s">
        <v>115</v>
      </c>
      <c r="B28" t="s">
        <v>116</v>
      </c>
      <c r="C28" s="28" t="s">
        <v>73</v>
      </c>
      <c r="D28" s="28" t="s">
        <v>70</v>
      </c>
      <c r="E28" s="28" t="s">
        <v>70</v>
      </c>
      <c r="F28" s="28" t="s">
        <v>70</v>
      </c>
      <c r="G28" s="28" t="s">
        <v>70</v>
      </c>
      <c r="H28" s="28" t="s">
        <v>70</v>
      </c>
      <c r="I28" s="28" t="s">
        <v>80</v>
      </c>
      <c r="J28" s="28">
        <v>3</v>
      </c>
      <c r="K28" s="28">
        <v>52</v>
      </c>
    </row>
    <row r="29" spans="1:11">
      <c r="A29" t="s">
        <v>117</v>
      </c>
      <c r="B29" t="s">
        <v>118</v>
      </c>
      <c r="C29" s="28" t="s">
        <v>73</v>
      </c>
      <c r="D29" s="28" t="s">
        <v>70</v>
      </c>
      <c r="E29" s="28" t="s">
        <v>70</v>
      </c>
      <c r="F29" s="28" t="s">
        <v>70</v>
      </c>
      <c r="G29" s="28" t="s">
        <v>70</v>
      </c>
      <c r="H29" s="28" t="s">
        <v>70</v>
      </c>
      <c r="I29" s="28" t="s">
        <v>80</v>
      </c>
      <c r="J29" s="28">
        <v>3</v>
      </c>
      <c r="K29" s="28">
        <v>52</v>
      </c>
    </row>
    <row r="30" spans="1:11">
      <c r="A30" t="s">
        <v>119</v>
      </c>
      <c r="B30" t="s">
        <v>120</v>
      </c>
      <c r="C30" s="28" t="s">
        <v>73</v>
      </c>
      <c r="D30" s="28" t="s">
        <v>70</v>
      </c>
      <c r="E30" s="28" t="s">
        <v>70</v>
      </c>
      <c r="F30" s="28" t="s">
        <v>70</v>
      </c>
      <c r="G30" s="28" t="s">
        <v>70</v>
      </c>
      <c r="H30" s="28" t="s">
        <v>70</v>
      </c>
      <c r="I30" s="28" t="s">
        <v>70</v>
      </c>
      <c r="J30" s="28">
        <v>3</v>
      </c>
      <c r="K30" s="28">
        <v>52</v>
      </c>
    </row>
    <row r="31" spans="1:11">
      <c r="A31" t="s">
        <v>121</v>
      </c>
      <c r="B31" t="s">
        <v>122</v>
      </c>
      <c r="C31" s="28" t="s">
        <v>73</v>
      </c>
      <c r="D31" s="28" t="s">
        <v>70</v>
      </c>
      <c r="E31" s="28" t="s">
        <v>70</v>
      </c>
      <c r="F31" s="28" t="s">
        <v>70</v>
      </c>
      <c r="G31" s="28" t="s">
        <v>70</v>
      </c>
      <c r="H31" s="28" t="s">
        <v>70</v>
      </c>
      <c r="I31" s="28" t="s">
        <v>70</v>
      </c>
      <c r="J31" s="28">
        <v>4</v>
      </c>
      <c r="K31" s="28">
        <v>52</v>
      </c>
    </row>
    <row r="32" spans="1:11">
      <c r="A32" t="s">
        <v>123</v>
      </c>
      <c r="B32" t="s">
        <v>124</v>
      </c>
      <c r="C32" s="28" t="s">
        <v>73</v>
      </c>
      <c r="D32" s="28" t="s">
        <v>70</v>
      </c>
      <c r="E32" s="28" t="s">
        <v>70</v>
      </c>
      <c r="F32" s="28" t="s">
        <v>70</v>
      </c>
      <c r="G32" s="28" t="s">
        <v>70</v>
      </c>
      <c r="H32" s="28" t="s">
        <v>70</v>
      </c>
      <c r="I32" s="28" t="s">
        <v>70</v>
      </c>
      <c r="J32" s="28">
        <v>0</v>
      </c>
      <c r="K32" s="28">
        <v>52</v>
      </c>
    </row>
    <row r="33" spans="1:11">
      <c r="A33" t="s">
        <v>125</v>
      </c>
      <c r="B33" t="s">
        <v>126</v>
      </c>
      <c r="C33" s="28" t="s">
        <v>73</v>
      </c>
      <c r="D33" s="28" t="s">
        <v>70</v>
      </c>
      <c r="E33" s="28" t="s">
        <v>70</v>
      </c>
      <c r="F33" s="28" t="s">
        <v>70</v>
      </c>
      <c r="G33" s="28" t="s">
        <v>70</v>
      </c>
      <c r="H33" s="28" t="s">
        <v>70</v>
      </c>
      <c r="I33" s="28" t="s">
        <v>80</v>
      </c>
      <c r="J33" s="28">
        <v>3</v>
      </c>
      <c r="K33" s="28">
        <v>52</v>
      </c>
    </row>
    <row r="34" spans="1:11">
      <c r="A34" t="s">
        <v>127</v>
      </c>
      <c r="B34" t="s">
        <v>128</v>
      </c>
      <c r="C34" s="28" t="s">
        <v>73</v>
      </c>
      <c r="D34" s="28" t="s">
        <v>70</v>
      </c>
      <c r="E34" s="28" t="s">
        <v>70</v>
      </c>
      <c r="F34" s="28" t="s">
        <v>70</v>
      </c>
      <c r="G34" s="28" t="s">
        <v>70</v>
      </c>
      <c r="H34" s="28" t="s">
        <v>70</v>
      </c>
      <c r="I34" s="28" t="s">
        <v>70</v>
      </c>
      <c r="J34" s="28">
        <v>2</v>
      </c>
      <c r="K34" s="28">
        <v>52</v>
      </c>
    </row>
    <row r="35" spans="1:11">
      <c r="A35" t="s">
        <v>129</v>
      </c>
      <c r="B35" t="s">
        <v>130</v>
      </c>
      <c r="C35" s="28" t="s">
        <v>73</v>
      </c>
      <c r="D35" s="28" t="s">
        <v>70</v>
      </c>
      <c r="E35" s="28" t="s">
        <v>70</v>
      </c>
      <c r="F35" s="28" t="s">
        <v>70</v>
      </c>
      <c r="G35" s="28" t="s">
        <v>70</v>
      </c>
      <c r="H35" s="28" t="s">
        <v>70</v>
      </c>
      <c r="I35" s="28" t="s">
        <v>80</v>
      </c>
      <c r="J35" s="28">
        <v>2</v>
      </c>
      <c r="K35" s="28">
        <v>52</v>
      </c>
    </row>
    <row r="36" spans="1:11">
      <c r="A36" t="s">
        <v>131</v>
      </c>
      <c r="B36" t="s">
        <v>132</v>
      </c>
      <c r="C36" s="28" t="s">
        <v>73</v>
      </c>
      <c r="D36" s="28" t="s">
        <v>70</v>
      </c>
      <c r="E36" s="28" t="s">
        <v>70</v>
      </c>
      <c r="F36" s="28" t="s">
        <v>70</v>
      </c>
      <c r="G36" s="28" t="s">
        <v>70</v>
      </c>
      <c r="H36" s="28" t="s">
        <v>70</v>
      </c>
      <c r="I36" s="28" t="s">
        <v>70</v>
      </c>
      <c r="J36" s="28">
        <v>2</v>
      </c>
      <c r="K36" s="28">
        <v>52</v>
      </c>
    </row>
    <row r="37" spans="1:11">
      <c r="A37" t="s">
        <v>133</v>
      </c>
      <c r="B37" t="s">
        <v>134</v>
      </c>
      <c r="C37" s="28" t="s">
        <v>73</v>
      </c>
      <c r="D37" s="28" t="s">
        <v>70</v>
      </c>
      <c r="E37" s="28" t="s">
        <v>70</v>
      </c>
      <c r="F37" s="28" t="s">
        <v>70</v>
      </c>
      <c r="G37" s="28" t="s">
        <v>70</v>
      </c>
      <c r="H37" s="28" t="s">
        <v>70</v>
      </c>
      <c r="I37" s="28" t="s">
        <v>70</v>
      </c>
      <c r="J37" s="28">
        <v>1</v>
      </c>
      <c r="K37" s="28">
        <v>52</v>
      </c>
    </row>
    <row r="38" spans="1:11" s="103" customFormat="1">
      <c r="A38" s="103" t="s">
        <v>5</v>
      </c>
      <c r="B38" s="103" t="s">
        <v>135</v>
      </c>
      <c r="C38" s="104" t="s">
        <v>69</v>
      </c>
      <c r="D38" s="104" t="s">
        <v>70</v>
      </c>
      <c r="E38" s="104" t="s">
        <v>70</v>
      </c>
      <c r="F38" s="104" t="s">
        <v>70</v>
      </c>
      <c r="G38" s="104" t="s">
        <v>70</v>
      </c>
      <c r="H38" s="104" t="s">
        <v>70</v>
      </c>
      <c r="I38" s="104" t="s">
        <v>80</v>
      </c>
      <c r="J38" s="104">
        <v>12</v>
      </c>
      <c r="K38" s="104">
        <v>52</v>
      </c>
    </row>
    <row r="39" spans="1:11">
      <c r="A39" t="s">
        <v>136</v>
      </c>
      <c r="B39" t="s">
        <v>137</v>
      </c>
      <c r="C39" s="28" t="s">
        <v>73</v>
      </c>
      <c r="D39" s="28" t="s">
        <v>70</v>
      </c>
      <c r="E39" s="28" t="s">
        <v>70</v>
      </c>
      <c r="F39" s="28" t="s">
        <v>70</v>
      </c>
      <c r="G39" s="28" t="s">
        <v>70</v>
      </c>
      <c r="H39" s="28" t="s">
        <v>70</v>
      </c>
      <c r="I39" s="28" t="s">
        <v>80</v>
      </c>
      <c r="J39" s="28">
        <v>0</v>
      </c>
      <c r="K39" s="28">
        <v>52</v>
      </c>
    </row>
    <row r="40" spans="1:11">
      <c r="A40" t="s">
        <v>138</v>
      </c>
      <c r="B40" t="s">
        <v>139</v>
      </c>
      <c r="C40" s="28" t="s">
        <v>73</v>
      </c>
      <c r="D40" s="28" t="s">
        <v>70</v>
      </c>
      <c r="E40" s="28" t="s">
        <v>70</v>
      </c>
      <c r="F40" s="28" t="s">
        <v>70</v>
      </c>
      <c r="G40" s="28" t="s">
        <v>70</v>
      </c>
      <c r="H40" s="28" t="s">
        <v>70</v>
      </c>
      <c r="I40" s="28" t="s">
        <v>70</v>
      </c>
      <c r="J40" s="28">
        <v>7</v>
      </c>
      <c r="K40" s="28">
        <v>52</v>
      </c>
    </row>
    <row r="41" spans="1:11">
      <c r="A41" t="s">
        <v>140</v>
      </c>
      <c r="B41" t="s">
        <v>141</v>
      </c>
      <c r="C41" s="28" t="s">
        <v>73</v>
      </c>
      <c r="D41" s="28" t="s">
        <v>70</v>
      </c>
      <c r="E41" s="28" t="s">
        <v>70</v>
      </c>
      <c r="F41" s="28" t="s">
        <v>70</v>
      </c>
      <c r="G41" s="28" t="s">
        <v>70</v>
      </c>
      <c r="H41" s="28" t="s">
        <v>70</v>
      </c>
      <c r="I41" s="28" t="s">
        <v>70</v>
      </c>
      <c r="J41" s="28">
        <v>6</v>
      </c>
      <c r="K41" s="28">
        <v>52</v>
      </c>
    </row>
    <row r="42" spans="1:11">
      <c r="A42" t="s">
        <v>256</v>
      </c>
      <c r="B42" t="s">
        <v>92</v>
      </c>
      <c r="C42" s="28" t="s">
        <v>73</v>
      </c>
      <c r="D42" s="28" t="s">
        <v>70</v>
      </c>
      <c r="E42" s="28" t="s">
        <v>70</v>
      </c>
      <c r="F42" s="28" t="s">
        <v>70</v>
      </c>
      <c r="G42" s="28" t="s">
        <v>70</v>
      </c>
      <c r="H42" s="28" t="s">
        <v>70</v>
      </c>
      <c r="I42" s="28" t="s">
        <v>70</v>
      </c>
      <c r="J42" s="28">
        <v>5</v>
      </c>
      <c r="K42" s="28">
        <v>52</v>
      </c>
    </row>
    <row r="43" spans="1:11">
      <c r="A43" t="s">
        <v>142</v>
      </c>
      <c r="B43" t="s">
        <v>143</v>
      </c>
      <c r="C43" s="28" t="s">
        <v>73</v>
      </c>
      <c r="D43" s="28" t="s">
        <v>70</v>
      </c>
      <c r="E43" s="28" t="s">
        <v>70</v>
      </c>
      <c r="F43" s="28" t="s">
        <v>70</v>
      </c>
      <c r="G43" s="28" t="s">
        <v>70</v>
      </c>
      <c r="H43" s="28" t="s">
        <v>70</v>
      </c>
      <c r="I43" s="28" t="s">
        <v>70</v>
      </c>
      <c r="J43" s="28">
        <v>7</v>
      </c>
      <c r="K43" s="28">
        <v>52</v>
      </c>
    </row>
    <row r="45" spans="1:11">
      <c r="J45" s="28">
        <f>SUM(J6:J44)</f>
        <v>207</v>
      </c>
    </row>
  </sheetData>
  <phoneticPr fontId="20" type="noConversion"/>
  <dataValidations count="1">
    <dataValidation type="list" allowBlank="1" showInputMessage="1" showErrorMessage="1" sqref="D6:I43" xr:uid="{310277DC-CD9F-4A53-90DA-4A4FC374E3ED}">
      <formula1>"Yes, No, NA"</formula1>
    </dataValidation>
  </dataValidations>
  <pageMargins left="0.7" right="0.7" top="0.75" bottom="0.75" header="0.3" footer="0.3"/>
  <pageSetup scale="26" fitToHeight="3"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2E45E76-512A-4DA7-A531-3526F7F00A55}">
          <x14:formula1>
            <xm:f>'Funding Tables'!$AB$3:$AB$5</xm:f>
          </x14:formula1>
          <xm:sqref>C6:C43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3E44F-001E-4D15-96FC-AEA30F59CBDB}">
  <sheetPr>
    <tabColor rgb="FFFFC000"/>
  </sheetPr>
  <dimension ref="A1:IT301"/>
  <sheetViews>
    <sheetView topLeftCell="C1" zoomScale="70" zoomScaleNormal="70" workbookViewId="0">
      <pane ySplit="1" topLeftCell="A2" activePane="bottomLeft" state="frozen"/>
      <selection pane="bottomLeft" activeCell="O1" sqref="O1:O1048576"/>
    </sheetView>
  </sheetViews>
  <sheetFormatPr defaultColWidth="9.3984375" defaultRowHeight="15.75"/>
  <cols>
    <col min="1" max="1" width="24" style="134" bestFit="1" customWidth="1"/>
    <col min="2" max="2" width="60.73046875" style="135" customWidth="1"/>
    <col min="3" max="3" width="10.73046875" style="135" bestFit="1" customWidth="1"/>
    <col min="4" max="4" width="38.3984375" style="135" customWidth="1"/>
    <col min="5" max="5" width="15.73046875" style="135" bestFit="1" customWidth="1"/>
    <col min="6" max="7" width="14.3984375" style="136" customWidth="1"/>
    <col min="8" max="8" width="16.3984375" style="137" customWidth="1"/>
    <col min="9" max="9" width="18.1328125" style="137" customWidth="1"/>
    <col min="10" max="10" width="16.3984375" style="137" customWidth="1"/>
    <col min="11" max="11" width="18.86328125" style="137" bestFit="1" customWidth="1"/>
    <col min="12" max="18" width="18.86328125" style="137" customWidth="1"/>
    <col min="19" max="19" width="47.59765625" style="129" customWidth="1"/>
    <col min="20" max="20" width="28.86328125" style="137" customWidth="1"/>
    <col min="21" max="21" width="21.59765625" style="129" customWidth="1"/>
    <col min="22" max="16384" width="9.3984375" style="129"/>
  </cols>
  <sheetData>
    <row r="1" spans="1:254" s="107" customFormat="1" ht="45">
      <c r="A1" s="145" t="s">
        <v>261</v>
      </c>
      <c r="B1" s="145" t="s">
        <v>262</v>
      </c>
      <c r="C1" s="145" t="s">
        <v>378</v>
      </c>
      <c r="D1" s="145" t="s">
        <v>303</v>
      </c>
      <c r="E1" s="146" t="s">
        <v>307</v>
      </c>
      <c r="F1" s="145" t="s">
        <v>317</v>
      </c>
      <c r="G1" s="145" t="s">
        <v>316</v>
      </c>
      <c r="H1" s="145" t="s">
        <v>348</v>
      </c>
      <c r="I1" s="145" t="s">
        <v>349</v>
      </c>
      <c r="J1" s="145" t="s">
        <v>350</v>
      </c>
      <c r="K1" s="145" t="s">
        <v>351</v>
      </c>
      <c r="L1" s="145" t="s">
        <v>304</v>
      </c>
      <c r="M1" s="145" t="s">
        <v>305</v>
      </c>
      <c r="N1" s="145" t="s">
        <v>386</v>
      </c>
      <c r="O1" s="168" t="s">
        <v>402</v>
      </c>
      <c r="P1" s="168" t="s">
        <v>402</v>
      </c>
      <c r="Q1" s="169" t="s">
        <v>363</v>
      </c>
      <c r="R1" s="145" t="s">
        <v>361</v>
      </c>
      <c r="S1" s="145" t="s">
        <v>366</v>
      </c>
      <c r="T1" s="145" t="s">
        <v>263</v>
      </c>
      <c r="W1" s="108"/>
      <c r="X1" s="109"/>
      <c r="Y1" s="109"/>
      <c r="Z1" s="110"/>
      <c r="AA1" s="110"/>
      <c r="AB1" s="110"/>
      <c r="AC1" s="110"/>
      <c r="AD1" s="108"/>
      <c r="AM1" s="108"/>
      <c r="AN1" s="109"/>
      <c r="AO1" s="109"/>
      <c r="AP1" s="110"/>
      <c r="AQ1" s="110"/>
      <c r="AR1" s="110"/>
      <c r="AS1" s="110"/>
      <c r="AT1" s="108"/>
      <c r="BC1" s="108"/>
      <c r="BD1" s="109"/>
      <c r="BE1" s="109"/>
      <c r="BF1" s="110"/>
      <c r="BG1" s="110"/>
      <c r="BH1" s="110"/>
      <c r="BI1" s="110"/>
      <c r="BJ1" s="108"/>
      <c r="BS1" s="108"/>
      <c r="BT1" s="109"/>
      <c r="BU1" s="109"/>
      <c r="BV1" s="110"/>
      <c r="BW1" s="110"/>
      <c r="BX1" s="110"/>
      <c r="BY1" s="110"/>
      <c r="BZ1" s="108"/>
      <c r="CI1" s="108"/>
      <c r="CJ1" s="109"/>
      <c r="CK1" s="109"/>
      <c r="CL1" s="110"/>
      <c r="CM1" s="110"/>
      <c r="CN1" s="110"/>
      <c r="CO1" s="110"/>
      <c r="CP1" s="108"/>
      <c r="CY1" s="108"/>
      <c r="CZ1" s="109"/>
      <c r="DA1" s="109"/>
      <c r="DB1" s="110"/>
      <c r="DC1" s="110"/>
      <c r="DD1" s="110"/>
      <c r="DE1" s="110"/>
      <c r="DF1" s="108"/>
      <c r="DO1" s="108"/>
      <c r="DP1" s="109"/>
      <c r="DQ1" s="109"/>
      <c r="DR1" s="110"/>
      <c r="DS1" s="110"/>
      <c r="DT1" s="110"/>
      <c r="DU1" s="110"/>
      <c r="DV1" s="108"/>
      <c r="EE1" s="108"/>
      <c r="EF1" s="109"/>
      <c r="EG1" s="109"/>
      <c r="EH1" s="110"/>
      <c r="EI1" s="110"/>
      <c r="EJ1" s="110"/>
      <c r="EK1" s="110"/>
      <c r="EL1" s="108"/>
      <c r="EU1" s="108"/>
      <c r="EV1" s="109"/>
      <c r="EW1" s="109"/>
      <c r="EX1" s="110"/>
      <c r="EY1" s="110"/>
      <c r="EZ1" s="110"/>
      <c r="FA1" s="110"/>
      <c r="FB1" s="108"/>
      <c r="FK1" s="108"/>
      <c r="FL1" s="109"/>
      <c r="FM1" s="109"/>
      <c r="FN1" s="110"/>
      <c r="FO1" s="110"/>
      <c r="FP1" s="110"/>
      <c r="FQ1" s="110"/>
      <c r="FR1" s="108"/>
      <c r="GA1" s="108"/>
      <c r="GB1" s="109"/>
      <c r="GC1" s="109"/>
      <c r="GD1" s="110"/>
      <c r="GE1" s="110"/>
      <c r="GF1" s="110"/>
      <c r="GG1" s="110"/>
      <c r="GH1" s="108"/>
      <c r="GQ1" s="108"/>
      <c r="GR1" s="109"/>
      <c r="GS1" s="109"/>
      <c r="GT1" s="110"/>
      <c r="GU1" s="110"/>
      <c r="GV1" s="110"/>
      <c r="GW1" s="110"/>
      <c r="GX1" s="108"/>
      <c r="HG1" s="108"/>
      <c r="HH1" s="109"/>
      <c r="HI1" s="109"/>
      <c r="HJ1" s="110"/>
      <c r="HK1" s="110"/>
      <c r="HL1" s="110"/>
      <c r="HM1" s="110"/>
      <c r="HN1" s="108"/>
      <c r="HW1" s="108"/>
      <c r="HX1" s="109"/>
      <c r="HY1" s="109"/>
      <c r="HZ1" s="110"/>
      <c r="IA1" s="110"/>
      <c r="IB1" s="110"/>
      <c r="IC1" s="110"/>
      <c r="ID1" s="108"/>
      <c r="IM1" s="108"/>
      <c r="IN1" s="109"/>
      <c r="IO1" s="109"/>
      <c r="IP1" s="110"/>
      <c r="IQ1" s="110"/>
      <c r="IR1" s="110"/>
      <c r="IS1" s="110"/>
      <c r="IT1" s="108"/>
    </row>
    <row r="2" spans="1:254" s="117" customFormat="1">
      <c r="A2" s="111" t="s">
        <v>67</v>
      </c>
      <c r="B2" s="112" t="s">
        <v>390</v>
      </c>
      <c r="C2" s="112" t="s">
        <v>32</v>
      </c>
      <c r="D2" s="112" t="s">
        <v>306</v>
      </c>
      <c r="E2" s="112">
        <v>15</v>
      </c>
      <c r="F2" s="113"/>
      <c r="G2" s="113"/>
      <c r="H2" s="115"/>
      <c r="I2" s="115"/>
      <c r="J2" s="115"/>
      <c r="K2" s="115"/>
      <c r="L2" s="115"/>
      <c r="M2" s="115"/>
      <c r="N2" s="115"/>
      <c r="O2" s="115">
        <f>681.818181818182*E2</f>
        <v>10227.27272727273</v>
      </c>
      <c r="P2" s="115"/>
      <c r="Q2" s="115"/>
      <c r="R2" s="115"/>
      <c r="S2" s="144"/>
      <c r="T2" s="116"/>
    </row>
    <row r="3" spans="1:254" s="117" customFormat="1" ht="78">
      <c r="A3" s="111" t="s">
        <v>67</v>
      </c>
      <c r="B3" s="112" t="s">
        <v>329</v>
      </c>
      <c r="C3" s="112" t="s">
        <v>32</v>
      </c>
      <c r="D3" s="112" t="s">
        <v>362</v>
      </c>
      <c r="E3" s="148"/>
      <c r="F3" s="113">
        <v>5</v>
      </c>
      <c r="G3" s="113"/>
      <c r="H3" s="114"/>
      <c r="I3" s="115"/>
      <c r="J3" s="115">
        <f>684924.76*1.0216</f>
        <v>699719.13481600001</v>
      </c>
      <c r="K3" s="115"/>
      <c r="L3" s="115"/>
      <c r="M3" s="115"/>
      <c r="N3" s="115"/>
      <c r="O3" s="115"/>
      <c r="P3" s="115"/>
      <c r="Q3" s="115"/>
      <c r="R3" s="115"/>
      <c r="S3" s="144"/>
      <c r="T3" s="116" t="s">
        <v>277</v>
      </c>
    </row>
    <row r="4" spans="1:254" s="117" customFormat="1" ht="78">
      <c r="A4" s="111" t="s">
        <v>67</v>
      </c>
      <c r="B4" s="112" t="s">
        <v>329</v>
      </c>
      <c r="C4" s="112" t="s">
        <v>32</v>
      </c>
      <c r="D4" s="112" t="s">
        <v>362</v>
      </c>
      <c r="E4" s="148"/>
      <c r="F4" s="113"/>
      <c r="G4" s="113"/>
      <c r="H4" s="114">
        <f>+(109404.27+27595.71)*1.0216+3842/1.13*1.0216</f>
        <v>143432.61956800002</v>
      </c>
      <c r="I4" s="115"/>
      <c r="J4" s="115"/>
      <c r="K4" s="115"/>
      <c r="L4" s="115"/>
      <c r="M4" s="115"/>
      <c r="N4" s="115"/>
      <c r="O4" s="115"/>
      <c r="P4" s="115"/>
      <c r="Q4" s="115"/>
      <c r="R4" s="115"/>
      <c r="S4" s="144"/>
      <c r="T4" s="116"/>
    </row>
    <row r="5" spans="1:254" s="120" customFormat="1" ht="31.5">
      <c r="A5" s="111" t="s">
        <v>67</v>
      </c>
      <c r="B5" s="118" t="s">
        <v>278</v>
      </c>
      <c r="C5" s="112" t="s">
        <v>32</v>
      </c>
      <c r="D5" s="112" t="s">
        <v>362</v>
      </c>
      <c r="E5" s="149"/>
      <c r="F5" s="119"/>
      <c r="G5" s="119"/>
      <c r="H5" s="115"/>
      <c r="I5" s="115">
        <f>11683.02+32424.22</f>
        <v>44107.240000000005</v>
      </c>
      <c r="J5" s="115"/>
      <c r="K5" s="115"/>
      <c r="L5" s="115"/>
      <c r="M5" s="115"/>
      <c r="N5" s="115"/>
      <c r="O5" s="115"/>
      <c r="P5" s="115"/>
      <c r="Q5" s="115"/>
      <c r="R5" s="115"/>
      <c r="S5" s="144"/>
      <c r="T5" s="116"/>
    </row>
    <row r="6" spans="1:254" s="120" customFormat="1">
      <c r="A6" s="111" t="s">
        <v>67</v>
      </c>
      <c r="B6" s="112" t="s">
        <v>370</v>
      </c>
      <c r="C6" s="112" t="s">
        <v>33</v>
      </c>
      <c r="D6" s="112" t="s">
        <v>362</v>
      </c>
      <c r="E6" s="112"/>
      <c r="F6" s="113"/>
      <c r="G6" s="113"/>
      <c r="H6" s="115"/>
      <c r="I6" s="115"/>
      <c r="J6" s="115"/>
      <c r="K6" s="115"/>
      <c r="L6" s="115"/>
      <c r="M6" s="115"/>
      <c r="N6" s="115"/>
      <c r="O6" s="115"/>
      <c r="P6" s="115"/>
      <c r="Q6" s="115"/>
      <c r="R6" s="115"/>
      <c r="S6" s="115">
        <v>150000</v>
      </c>
      <c r="T6" s="116"/>
    </row>
    <row r="7" spans="1:254" s="117" customFormat="1" ht="31.5">
      <c r="A7" s="111" t="s">
        <v>71</v>
      </c>
      <c r="B7" s="112" t="s">
        <v>311</v>
      </c>
      <c r="C7" s="112" t="s">
        <v>32</v>
      </c>
      <c r="D7" s="112" t="s">
        <v>325</v>
      </c>
      <c r="E7" s="148"/>
      <c r="F7" s="113"/>
      <c r="G7" s="113"/>
      <c r="H7" s="115">
        <f>46910*1.0216</f>
        <v>47923.256000000001</v>
      </c>
      <c r="I7" s="115"/>
      <c r="J7" s="115"/>
      <c r="K7" s="115"/>
      <c r="L7" s="115"/>
      <c r="M7" s="115"/>
      <c r="N7" s="115"/>
      <c r="O7" s="115"/>
      <c r="P7" s="115"/>
      <c r="Q7" s="115"/>
      <c r="R7" s="115"/>
      <c r="S7" s="143"/>
      <c r="T7" s="116" t="s">
        <v>331</v>
      </c>
    </row>
    <row r="8" spans="1:254" s="120" customFormat="1">
      <c r="A8" s="111" t="s">
        <v>71</v>
      </c>
      <c r="B8" s="112" t="s">
        <v>318</v>
      </c>
      <c r="C8" s="112" t="s">
        <v>32</v>
      </c>
      <c r="D8" s="112" t="s">
        <v>325</v>
      </c>
      <c r="E8" s="148"/>
      <c r="F8" s="113"/>
      <c r="G8" s="113"/>
      <c r="H8" s="115"/>
      <c r="I8" s="115"/>
      <c r="J8" s="115"/>
      <c r="K8" s="115"/>
      <c r="L8" s="115"/>
      <c r="M8" s="115">
        <v>2756.34</v>
      </c>
      <c r="N8" s="115"/>
      <c r="O8" s="115"/>
      <c r="P8" s="115"/>
      <c r="Q8" s="115"/>
      <c r="R8" s="115"/>
      <c r="S8" s="144"/>
      <c r="T8" s="116"/>
    </row>
    <row r="9" spans="1:254" s="117" customFormat="1">
      <c r="A9" s="111" t="s">
        <v>71</v>
      </c>
      <c r="B9" s="112" t="s">
        <v>390</v>
      </c>
      <c r="C9" s="112" t="s">
        <v>32</v>
      </c>
      <c r="D9" s="112" t="s">
        <v>306</v>
      </c>
      <c r="E9" s="112">
        <v>6</v>
      </c>
      <c r="F9" s="113"/>
      <c r="G9" s="113"/>
      <c r="H9" s="115"/>
      <c r="I9" s="115"/>
      <c r="J9" s="115"/>
      <c r="K9" s="115"/>
      <c r="L9" s="115"/>
      <c r="M9" s="115"/>
      <c r="N9" s="115"/>
      <c r="O9" s="115">
        <f>681.818181818182*E9</f>
        <v>4090.9090909090919</v>
      </c>
      <c r="P9" s="115"/>
      <c r="Q9" s="115"/>
      <c r="R9" s="115"/>
      <c r="S9" s="144"/>
      <c r="T9" s="116"/>
    </row>
    <row r="10" spans="1:254" s="117" customFormat="1" ht="31.5">
      <c r="A10" s="111" t="s">
        <v>71</v>
      </c>
      <c r="B10" s="112" t="s">
        <v>310</v>
      </c>
      <c r="C10" s="112" t="s">
        <v>32</v>
      </c>
      <c r="D10" s="112" t="s">
        <v>362</v>
      </c>
      <c r="E10" s="148"/>
      <c r="F10" s="113"/>
      <c r="G10" s="113">
        <v>1</v>
      </c>
      <c r="H10" s="143"/>
      <c r="I10" s="115"/>
      <c r="J10" s="115">
        <f>60730*1.0216</f>
        <v>62041.768000000004</v>
      </c>
      <c r="K10" s="115"/>
      <c r="L10" s="115"/>
      <c r="M10" s="115"/>
      <c r="N10" s="115"/>
      <c r="O10" s="115"/>
      <c r="P10" s="115"/>
      <c r="Q10" s="115"/>
      <c r="R10" s="115"/>
      <c r="S10" s="143"/>
      <c r="T10" s="116" t="s">
        <v>330</v>
      </c>
    </row>
    <row r="11" spans="1:254" s="117" customFormat="1">
      <c r="A11" s="111" t="s">
        <v>71</v>
      </c>
      <c r="B11" s="112" t="s">
        <v>384</v>
      </c>
      <c r="C11" s="112" t="s">
        <v>32</v>
      </c>
      <c r="D11" s="112" t="s">
        <v>391</v>
      </c>
      <c r="E11" s="112"/>
      <c r="F11" s="113"/>
      <c r="G11" s="113"/>
      <c r="H11" s="115"/>
      <c r="I11" s="115"/>
      <c r="J11" s="115"/>
      <c r="K11" s="115"/>
      <c r="L11" s="115"/>
      <c r="M11" s="115">
        <f>6680*1.0216</f>
        <v>6824.2880000000005</v>
      </c>
      <c r="N11" s="115"/>
      <c r="O11" s="115"/>
      <c r="P11" s="115"/>
      <c r="Q11" s="115"/>
      <c r="R11" s="115"/>
      <c r="S11" s="144"/>
      <c r="T11" s="116"/>
    </row>
    <row r="12" spans="1:254" s="117" customFormat="1">
      <c r="A12" s="111" t="s">
        <v>74</v>
      </c>
      <c r="B12" s="112" t="s">
        <v>390</v>
      </c>
      <c r="C12" s="112" t="s">
        <v>32</v>
      </c>
      <c r="D12" s="112" t="s">
        <v>306</v>
      </c>
      <c r="E12" s="112">
        <v>4</v>
      </c>
      <c r="F12" s="113"/>
      <c r="G12" s="113"/>
      <c r="H12" s="115"/>
      <c r="I12" s="115"/>
      <c r="J12" s="115"/>
      <c r="K12" s="115"/>
      <c r="L12" s="115"/>
      <c r="M12" s="115"/>
      <c r="N12" s="115"/>
      <c r="O12" s="115">
        <f>681.818181818182*E12</f>
        <v>2727.2727272727279</v>
      </c>
      <c r="P12" s="115"/>
      <c r="Q12" s="115"/>
      <c r="R12" s="115"/>
      <c r="S12" s="144"/>
      <c r="T12" s="116"/>
    </row>
    <row r="13" spans="1:254" s="117" customFormat="1" ht="31.5">
      <c r="A13" s="111" t="s">
        <v>74</v>
      </c>
      <c r="B13" s="118" t="s">
        <v>266</v>
      </c>
      <c r="C13" s="112" t="s">
        <v>32</v>
      </c>
      <c r="D13" s="112" t="s">
        <v>362</v>
      </c>
      <c r="E13" s="149"/>
      <c r="F13" s="119"/>
      <c r="G13" s="119">
        <v>10</v>
      </c>
      <c r="H13" s="115"/>
      <c r="I13" s="115">
        <v>476265.69</v>
      </c>
      <c r="J13" s="115"/>
      <c r="K13" s="115"/>
      <c r="L13" s="115"/>
      <c r="M13" s="115"/>
      <c r="N13" s="115"/>
      <c r="O13" s="115"/>
      <c r="P13" s="115"/>
      <c r="Q13" s="115"/>
      <c r="R13" s="115"/>
      <c r="S13" s="144"/>
      <c r="T13" s="121" t="s">
        <v>267</v>
      </c>
    </row>
    <row r="14" spans="1:254" s="117" customFormat="1" ht="31.5">
      <c r="A14" s="111" t="s">
        <v>74</v>
      </c>
      <c r="B14" s="118" t="s">
        <v>268</v>
      </c>
      <c r="C14" s="112" t="s">
        <v>32</v>
      </c>
      <c r="D14" s="112" t="s">
        <v>362</v>
      </c>
      <c r="E14" s="149"/>
      <c r="F14" s="119"/>
      <c r="G14" s="119"/>
      <c r="H14" s="115"/>
      <c r="I14" s="115">
        <v>2308.8200000000002</v>
      </c>
      <c r="J14" s="115"/>
      <c r="K14" s="115"/>
      <c r="L14" s="115"/>
      <c r="M14" s="115"/>
      <c r="N14" s="115"/>
      <c r="O14" s="115"/>
      <c r="P14" s="115"/>
      <c r="Q14" s="115"/>
      <c r="R14" s="115"/>
      <c r="S14" s="143"/>
      <c r="T14" s="121" t="s">
        <v>269</v>
      </c>
    </row>
    <row r="15" spans="1:254" s="117" customFormat="1">
      <c r="A15" s="111" t="s">
        <v>76</v>
      </c>
      <c r="B15" s="112" t="s">
        <v>390</v>
      </c>
      <c r="C15" s="112" t="s">
        <v>32</v>
      </c>
      <c r="D15" s="112" t="s">
        <v>306</v>
      </c>
      <c r="E15" s="112">
        <v>7</v>
      </c>
      <c r="F15" s="113"/>
      <c r="G15" s="113"/>
      <c r="H15" s="115"/>
      <c r="I15" s="115"/>
      <c r="J15" s="115"/>
      <c r="K15" s="115"/>
      <c r="L15" s="115"/>
      <c r="M15" s="115"/>
      <c r="N15" s="115"/>
      <c r="O15" s="115">
        <f>681.818181818182*E15</f>
        <v>4772.7272727272739</v>
      </c>
      <c r="P15" s="115"/>
      <c r="Q15" s="115"/>
      <c r="R15" s="115"/>
      <c r="S15" s="144"/>
      <c r="T15" s="116"/>
    </row>
    <row r="16" spans="1:254" s="120" customFormat="1">
      <c r="A16" s="111" t="s">
        <v>76</v>
      </c>
      <c r="B16" s="112" t="s">
        <v>383</v>
      </c>
      <c r="C16" s="112" t="s">
        <v>32</v>
      </c>
      <c r="D16" s="112" t="s">
        <v>391</v>
      </c>
      <c r="E16" s="112"/>
      <c r="F16" s="113"/>
      <c r="G16" s="113"/>
      <c r="H16" s="115"/>
      <c r="I16" s="115"/>
      <c r="J16" s="115"/>
      <c r="K16" s="115"/>
      <c r="L16" s="115">
        <f>1118.7/1.13*1.0216</f>
        <v>1011.3840000000001</v>
      </c>
      <c r="M16" s="115"/>
      <c r="N16" s="115"/>
      <c r="O16" s="115"/>
      <c r="P16" s="115"/>
      <c r="Q16" s="115"/>
      <c r="R16" s="115"/>
      <c r="S16" s="144"/>
      <c r="T16" s="116"/>
    </row>
    <row r="17" spans="1:22" s="120" customFormat="1">
      <c r="A17" s="111" t="s">
        <v>76</v>
      </c>
      <c r="B17" s="112" t="s">
        <v>383</v>
      </c>
      <c r="C17" s="112" t="s">
        <v>32</v>
      </c>
      <c r="D17" s="112" t="s">
        <v>391</v>
      </c>
      <c r="E17" s="112"/>
      <c r="F17" s="113"/>
      <c r="G17" s="113"/>
      <c r="H17" s="115"/>
      <c r="I17" s="115"/>
      <c r="J17" s="115"/>
      <c r="K17" s="115"/>
      <c r="L17" s="115">
        <f>1118.7/1.13*1.0216</f>
        <v>1011.3840000000001</v>
      </c>
      <c r="M17" s="115"/>
      <c r="N17" s="115"/>
      <c r="O17" s="115"/>
      <c r="P17" s="115"/>
      <c r="Q17" s="115"/>
      <c r="R17" s="115"/>
      <c r="S17" s="144"/>
      <c r="T17" s="116"/>
    </row>
    <row r="18" spans="1:22" s="120" customFormat="1">
      <c r="A18" s="111" t="s">
        <v>78</v>
      </c>
      <c r="B18" s="112" t="s">
        <v>374</v>
      </c>
      <c r="C18" s="112" t="s">
        <v>33</v>
      </c>
      <c r="D18" s="112" t="s">
        <v>325</v>
      </c>
      <c r="E18" s="112"/>
      <c r="F18" s="113"/>
      <c r="G18" s="113"/>
      <c r="H18" s="115"/>
      <c r="I18" s="115"/>
      <c r="J18" s="115"/>
      <c r="K18" s="115"/>
      <c r="L18" s="115"/>
      <c r="M18" s="115"/>
      <c r="N18" s="115"/>
      <c r="O18" s="115"/>
      <c r="P18" s="115"/>
      <c r="Q18" s="115"/>
      <c r="R18" s="115"/>
      <c r="S18" s="115">
        <v>50000</v>
      </c>
      <c r="T18" s="116"/>
    </row>
    <row r="19" spans="1:22" s="117" customFormat="1">
      <c r="A19" s="111" t="s">
        <v>78</v>
      </c>
      <c r="B19" s="112" t="s">
        <v>390</v>
      </c>
      <c r="C19" s="112" t="s">
        <v>32</v>
      </c>
      <c r="D19" s="112" t="s">
        <v>306</v>
      </c>
      <c r="E19" s="112">
        <v>2</v>
      </c>
      <c r="F19" s="113"/>
      <c r="G19" s="113"/>
      <c r="H19" s="115"/>
      <c r="I19" s="115"/>
      <c r="J19" s="115"/>
      <c r="K19" s="115"/>
      <c r="L19" s="115"/>
      <c r="M19" s="115"/>
      <c r="N19" s="115"/>
      <c r="O19" s="115">
        <f>681.818181818182*E19</f>
        <v>1363.636363636364</v>
      </c>
      <c r="P19" s="115"/>
      <c r="Q19" s="115"/>
      <c r="R19" s="115"/>
      <c r="S19" s="144"/>
      <c r="T19" s="116"/>
    </row>
    <row r="20" spans="1:22" s="117" customFormat="1" ht="31.5">
      <c r="A20" s="111" t="s">
        <v>78</v>
      </c>
      <c r="B20" s="112" t="s">
        <v>375</v>
      </c>
      <c r="C20" s="112" t="s">
        <v>33</v>
      </c>
      <c r="D20" s="112" t="s">
        <v>362</v>
      </c>
      <c r="E20" s="112"/>
      <c r="F20" s="113"/>
      <c r="G20" s="113"/>
      <c r="H20" s="115"/>
      <c r="I20" s="115"/>
      <c r="J20" s="115"/>
      <c r="K20" s="115"/>
      <c r="L20" s="115"/>
      <c r="M20" s="115"/>
      <c r="N20" s="115"/>
      <c r="O20" s="115"/>
      <c r="P20" s="115"/>
      <c r="Q20" s="115"/>
      <c r="R20" s="115"/>
      <c r="S20" s="115">
        <v>50000</v>
      </c>
      <c r="T20" s="116"/>
    </row>
    <row r="21" spans="1:22" s="117" customFormat="1">
      <c r="A21" s="111" t="s">
        <v>81</v>
      </c>
      <c r="B21" s="112" t="s">
        <v>390</v>
      </c>
      <c r="C21" s="112" t="s">
        <v>32</v>
      </c>
      <c r="D21" s="112" t="s">
        <v>306</v>
      </c>
      <c r="E21" s="112">
        <v>8</v>
      </c>
      <c r="F21" s="113"/>
      <c r="G21" s="113"/>
      <c r="H21" s="115"/>
      <c r="I21" s="115"/>
      <c r="J21" s="115"/>
      <c r="K21" s="115"/>
      <c r="L21" s="115"/>
      <c r="M21" s="115"/>
      <c r="N21" s="115"/>
      <c r="O21" s="115">
        <f>681.818181818182*E21</f>
        <v>5454.5454545454559</v>
      </c>
      <c r="P21" s="115"/>
      <c r="Q21" s="115"/>
      <c r="R21" s="115"/>
      <c r="S21" s="144"/>
      <c r="T21" s="116"/>
    </row>
    <row r="22" spans="1:22" s="117" customFormat="1">
      <c r="A22" s="111" t="s">
        <v>81</v>
      </c>
      <c r="B22" s="112" t="s">
        <v>384</v>
      </c>
      <c r="C22" s="112" t="s">
        <v>32</v>
      </c>
      <c r="D22" s="112" t="s">
        <v>391</v>
      </c>
      <c r="E22" s="112"/>
      <c r="F22" s="113"/>
      <c r="G22" s="113"/>
      <c r="H22" s="115"/>
      <c r="I22" s="115"/>
      <c r="J22" s="115"/>
      <c r="K22" s="115"/>
      <c r="L22" s="115"/>
      <c r="M22" s="115">
        <f>3328*1.0216</f>
        <v>3399.8848000000003</v>
      </c>
      <c r="N22" s="115"/>
      <c r="O22" s="115"/>
      <c r="P22" s="115"/>
      <c r="Q22" s="115"/>
      <c r="R22" s="115"/>
      <c r="S22" s="144"/>
      <c r="T22" s="116"/>
    </row>
    <row r="23" spans="1:22" s="120" customFormat="1">
      <c r="A23" s="111" t="s">
        <v>83</v>
      </c>
      <c r="B23" s="112" t="s">
        <v>306</v>
      </c>
      <c r="C23" s="112" t="s">
        <v>33</v>
      </c>
      <c r="D23" s="112" t="s">
        <v>306</v>
      </c>
      <c r="E23" s="112">
        <v>11</v>
      </c>
      <c r="F23" s="113"/>
      <c r="G23" s="113"/>
      <c r="H23" s="115"/>
      <c r="I23" s="115"/>
      <c r="J23" s="115"/>
      <c r="K23" s="115"/>
      <c r="L23" s="115">
        <f>735.55*E23</f>
        <v>8091.0499999999993</v>
      </c>
      <c r="M23" s="115"/>
      <c r="N23" s="115"/>
      <c r="O23" s="144"/>
      <c r="P23" s="115"/>
      <c r="Q23" s="115"/>
      <c r="R23" s="115"/>
      <c r="S23" s="144"/>
      <c r="T23" s="116"/>
    </row>
    <row r="24" spans="1:22" s="120" customFormat="1">
      <c r="A24" s="111" t="s">
        <v>83</v>
      </c>
      <c r="B24" s="112" t="s">
        <v>383</v>
      </c>
      <c r="C24" s="112" t="s">
        <v>32</v>
      </c>
      <c r="D24" s="112" t="s">
        <v>391</v>
      </c>
      <c r="E24" s="112"/>
      <c r="F24" s="113"/>
      <c r="G24" s="113"/>
      <c r="H24" s="115"/>
      <c r="I24" s="115"/>
      <c r="J24" s="115"/>
      <c r="K24" s="115"/>
      <c r="L24" s="115">
        <f>902.87/1.13*1.0216</f>
        <v>816.25840000000017</v>
      </c>
      <c r="M24" s="115"/>
      <c r="N24" s="115"/>
      <c r="O24" s="115"/>
      <c r="P24" s="115"/>
      <c r="Q24" s="115"/>
      <c r="R24" s="115"/>
      <c r="S24" s="144"/>
      <c r="T24" s="116"/>
    </row>
    <row r="25" spans="1:22" s="120" customFormat="1">
      <c r="A25" s="111" t="s">
        <v>83</v>
      </c>
      <c r="B25" s="112" t="s">
        <v>383</v>
      </c>
      <c r="C25" s="112" t="s">
        <v>32</v>
      </c>
      <c r="D25" s="112" t="s">
        <v>391</v>
      </c>
      <c r="E25" s="112"/>
      <c r="F25" s="113"/>
      <c r="G25" s="113"/>
      <c r="H25" s="115"/>
      <c r="I25" s="115"/>
      <c r="J25" s="115"/>
      <c r="K25" s="115"/>
      <c r="L25" s="115">
        <f>902.87/1.13*1.0216</f>
        <v>816.25840000000017</v>
      </c>
      <c r="M25" s="115"/>
      <c r="N25" s="115"/>
      <c r="O25" s="115"/>
      <c r="P25" s="115"/>
      <c r="Q25" s="115"/>
      <c r="R25" s="115"/>
      <c r="S25" s="144"/>
      <c r="T25" s="116"/>
    </row>
    <row r="26" spans="1:22" s="120" customFormat="1" ht="31.5">
      <c r="A26" s="111" t="s">
        <v>85</v>
      </c>
      <c r="B26" s="112" t="s">
        <v>309</v>
      </c>
      <c r="C26" s="112" t="s">
        <v>32</v>
      </c>
      <c r="D26" s="112" t="s">
        <v>325</v>
      </c>
      <c r="E26" s="148"/>
      <c r="F26" s="113"/>
      <c r="G26" s="113"/>
      <c r="H26" s="115">
        <f>23650*1.0216</f>
        <v>24160.84</v>
      </c>
      <c r="I26" s="115"/>
      <c r="J26" s="115"/>
      <c r="K26" s="115"/>
      <c r="L26" s="115"/>
      <c r="M26" s="115"/>
      <c r="N26" s="115"/>
      <c r="O26" s="115"/>
      <c r="P26" s="115"/>
      <c r="Q26" s="115"/>
      <c r="R26" s="115"/>
      <c r="S26" s="144"/>
      <c r="T26" s="116" t="s">
        <v>333</v>
      </c>
    </row>
    <row r="27" spans="1:22" s="117" customFormat="1">
      <c r="A27" s="111" t="s">
        <v>85</v>
      </c>
      <c r="B27" s="112" t="s">
        <v>318</v>
      </c>
      <c r="C27" s="112" t="s">
        <v>32</v>
      </c>
      <c r="D27" s="112" t="s">
        <v>325</v>
      </c>
      <c r="E27" s="148"/>
      <c r="F27" s="113"/>
      <c r="G27" s="113"/>
      <c r="H27" s="115"/>
      <c r="I27" s="115"/>
      <c r="J27" s="115"/>
      <c r="K27" s="115"/>
      <c r="L27" s="115"/>
      <c r="M27" s="115">
        <v>2538.37</v>
      </c>
      <c r="N27" s="115"/>
      <c r="O27" s="115"/>
      <c r="P27" s="115"/>
      <c r="Q27" s="115"/>
      <c r="R27" s="115"/>
      <c r="S27" s="144"/>
      <c r="T27" s="116"/>
      <c r="U27" s="128"/>
      <c r="V27" s="128"/>
    </row>
    <row r="28" spans="1:22" s="120" customFormat="1">
      <c r="A28" s="111" t="s">
        <v>85</v>
      </c>
      <c r="B28" s="112" t="s">
        <v>393</v>
      </c>
      <c r="C28" s="112" t="s">
        <v>32</v>
      </c>
      <c r="D28" s="112" t="s">
        <v>306</v>
      </c>
      <c r="E28" s="112">
        <v>1</v>
      </c>
      <c r="F28" s="113"/>
      <c r="G28" s="113"/>
      <c r="H28" s="115"/>
      <c r="I28" s="115"/>
      <c r="J28" s="115"/>
      <c r="K28" s="115"/>
      <c r="L28" s="115">
        <f>735.55*E28</f>
        <v>735.55</v>
      </c>
      <c r="M28" s="115"/>
      <c r="N28" s="115"/>
      <c r="O28" s="115"/>
      <c r="P28" s="115"/>
      <c r="Q28" s="115"/>
      <c r="R28" s="115"/>
      <c r="S28" s="144"/>
      <c r="T28" s="116"/>
    </row>
    <row r="29" spans="1:22" s="117" customFormat="1">
      <c r="A29" s="111" t="s">
        <v>85</v>
      </c>
      <c r="B29" s="112" t="s">
        <v>384</v>
      </c>
      <c r="C29" s="112" t="s">
        <v>32</v>
      </c>
      <c r="D29" s="112" t="s">
        <v>391</v>
      </c>
      <c r="E29" s="112"/>
      <c r="F29" s="113"/>
      <c r="G29" s="113"/>
      <c r="H29" s="115"/>
      <c r="I29" s="115"/>
      <c r="J29" s="115"/>
      <c r="K29" s="115"/>
      <c r="L29" s="115"/>
      <c r="M29" s="115">
        <f>16856*1.0216</f>
        <v>17220.089599999999</v>
      </c>
      <c r="N29" s="115"/>
      <c r="O29" s="115"/>
      <c r="P29" s="115"/>
      <c r="Q29" s="115"/>
      <c r="R29" s="115"/>
      <c r="S29" s="144"/>
      <c r="T29" s="116"/>
    </row>
    <row r="30" spans="1:22" ht="31.5">
      <c r="A30" s="111" t="s">
        <v>85</v>
      </c>
      <c r="B30" s="112" t="s">
        <v>308</v>
      </c>
      <c r="C30" s="112" t="s">
        <v>32</v>
      </c>
      <c r="D30" s="112" t="s">
        <v>362</v>
      </c>
      <c r="E30" s="148"/>
      <c r="F30" s="113"/>
      <c r="G30" s="113">
        <v>3</v>
      </c>
      <c r="H30" s="144"/>
      <c r="I30" s="115"/>
      <c r="J30" s="115">
        <f>165780*1.0216</f>
        <v>169360.848</v>
      </c>
      <c r="K30" s="115"/>
      <c r="L30" s="115"/>
      <c r="M30" s="115"/>
      <c r="N30" s="115"/>
      <c r="O30" s="115"/>
      <c r="P30" s="115"/>
      <c r="Q30" s="115"/>
      <c r="R30" s="115"/>
      <c r="S30" s="144"/>
      <c r="T30" s="116" t="s">
        <v>332</v>
      </c>
    </row>
    <row r="31" spans="1:22" ht="31.5">
      <c r="A31" s="111" t="s">
        <v>87</v>
      </c>
      <c r="B31" s="112" t="s">
        <v>309</v>
      </c>
      <c r="C31" s="112" t="s">
        <v>32</v>
      </c>
      <c r="D31" s="112" t="s">
        <v>325</v>
      </c>
      <c r="E31" s="148"/>
      <c r="F31" s="113"/>
      <c r="G31" s="113"/>
      <c r="H31" s="114">
        <f>30930*1.0216</f>
        <v>31598.088000000003</v>
      </c>
      <c r="I31" s="115"/>
      <c r="J31" s="115"/>
      <c r="K31" s="115"/>
      <c r="L31" s="115"/>
      <c r="M31" s="115"/>
      <c r="N31" s="115"/>
      <c r="O31" s="115"/>
      <c r="P31" s="115"/>
      <c r="Q31" s="115"/>
      <c r="R31" s="115"/>
      <c r="S31" s="144"/>
      <c r="T31" s="116" t="s">
        <v>335</v>
      </c>
    </row>
    <row r="32" spans="1:22" s="120" customFormat="1" ht="31.5">
      <c r="A32" s="111" t="s">
        <v>87</v>
      </c>
      <c r="B32" s="112" t="s">
        <v>393</v>
      </c>
      <c r="C32" s="112" t="s">
        <v>32</v>
      </c>
      <c r="D32" s="112" t="s">
        <v>306</v>
      </c>
      <c r="E32" s="112">
        <v>3</v>
      </c>
      <c r="F32" s="113"/>
      <c r="G32" s="113"/>
      <c r="H32" s="115"/>
      <c r="I32" s="115"/>
      <c r="J32" s="115"/>
      <c r="K32" s="115"/>
      <c r="L32" s="115">
        <f>735.55*E32</f>
        <v>2206.6499999999996</v>
      </c>
      <c r="M32" s="115"/>
      <c r="N32" s="115"/>
      <c r="O32" s="115"/>
      <c r="P32" s="115"/>
      <c r="Q32" s="115"/>
      <c r="R32" s="115"/>
      <c r="S32" s="144"/>
      <c r="T32" s="116"/>
    </row>
    <row r="33" spans="1:20" s="120" customFormat="1" ht="31.5">
      <c r="A33" s="111" t="s">
        <v>87</v>
      </c>
      <c r="B33" s="112" t="s">
        <v>379</v>
      </c>
      <c r="C33" s="112" t="s">
        <v>32</v>
      </c>
      <c r="D33" s="112" t="s">
        <v>362</v>
      </c>
      <c r="E33" s="112"/>
      <c r="F33" s="113"/>
      <c r="G33" s="113"/>
      <c r="H33" s="115"/>
      <c r="I33" s="115"/>
      <c r="J33" s="115"/>
      <c r="K33" s="115"/>
      <c r="L33" s="115">
        <f>972.48/1.13*1.0216</f>
        <v>879.19076814159314</v>
      </c>
      <c r="M33" s="115"/>
      <c r="N33" s="115"/>
      <c r="O33" s="115"/>
      <c r="P33" s="115"/>
      <c r="Q33" s="115"/>
      <c r="R33" s="115"/>
      <c r="S33" s="144"/>
      <c r="T33" s="116"/>
    </row>
    <row r="34" spans="1:20" s="128" customFormat="1" ht="31.5">
      <c r="A34" s="111" t="s">
        <v>87</v>
      </c>
      <c r="B34" s="112" t="s">
        <v>312</v>
      </c>
      <c r="C34" s="112" t="s">
        <v>32</v>
      </c>
      <c r="D34" s="112" t="s">
        <v>326</v>
      </c>
      <c r="E34" s="148"/>
      <c r="F34" s="113"/>
      <c r="G34" s="113">
        <v>5</v>
      </c>
      <c r="H34" s="144"/>
      <c r="I34" s="115"/>
      <c r="J34" s="115">
        <f>200540*1.0216</f>
        <v>204871.66400000002</v>
      </c>
      <c r="K34" s="115"/>
      <c r="L34" s="115"/>
      <c r="M34" s="115"/>
      <c r="N34" s="115"/>
      <c r="O34" s="115"/>
      <c r="P34" s="115"/>
      <c r="Q34" s="115"/>
      <c r="R34" s="115"/>
      <c r="S34" s="144"/>
      <c r="T34" s="116" t="s">
        <v>334</v>
      </c>
    </row>
    <row r="35" spans="1:20" s="128" customFormat="1" ht="31.5" customHeight="1">
      <c r="A35" s="111" t="s">
        <v>89</v>
      </c>
      <c r="B35" s="112" t="s">
        <v>393</v>
      </c>
      <c r="C35" s="112" t="s">
        <v>32</v>
      </c>
      <c r="D35" s="112" t="s">
        <v>306</v>
      </c>
      <c r="E35" s="112">
        <v>7</v>
      </c>
      <c r="F35" s="113"/>
      <c r="G35" s="113"/>
      <c r="H35" s="115"/>
      <c r="I35" s="115"/>
      <c r="J35" s="115"/>
      <c r="K35" s="115"/>
      <c r="L35" s="115">
        <f>735.55*E35</f>
        <v>5148.8499999999995</v>
      </c>
      <c r="M35" s="115"/>
      <c r="N35" s="115"/>
      <c r="O35" s="115"/>
      <c r="P35" s="115"/>
      <c r="Q35" s="115"/>
      <c r="R35" s="115"/>
      <c r="S35" s="144"/>
      <c r="T35" s="116"/>
    </row>
    <row r="36" spans="1:20" s="120" customFormat="1" ht="31.5">
      <c r="A36" s="111" t="s">
        <v>276</v>
      </c>
      <c r="B36" s="112" t="s">
        <v>314</v>
      </c>
      <c r="C36" s="112" t="s">
        <v>32</v>
      </c>
      <c r="D36" s="112" t="s">
        <v>325</v>
      </c>
      <c r="E36" s="148"/>
      <c r="F36" s="113"/>
      <c r="G36" s="113"/>
      <c r="H36" s="115">
        <f>71640*1.0216</f>
        <v>73187.423999999999</v>
      </c>
      <c r="I36" s="115"/>
      <c r="J36" s="115"/>
      <c r="K36" s="115"/>
      <c r="L36" s="115"/>
      <c r="M36" s="115"/>
      <c r="N36" s="115"/>
      <c r="O36" s="115"/>
      <c r="P36" s="115"/>
      <c r="Q36" s="115"/>
      <c r="R36" s="115"/>
      <c r="S36" s="144"/>
      <c r="T36" s="116" t="s">
        <v>337</v>
      </c>
    </row>
    <row r="37" spans="1:20" s="117" customFormat="1" ht="31.5">
      <c r="A37" s="111" t="s">
        <v>276</v>
      </c>
      <c r="B37" s="112" t="s">
        <v>313</v>
      </c>
      <c r="C37" s="112" t="s">
        <v>32</v>
      </c>
      <c r="D37" s="112" t="s">
        <v>326</v>
      </c>
      <c r="E37" s="148"/>
      <c r="F37" s="113"/>
      <c r="G37" s="113">
        <v>4</v>
      </c>
      <c r="H37" s="144"/>
      <c r="I37" s="115"/>
      <c r="J37" s="115">
        <f>144060*1.0216</f>
        <v>147171.696</v>
      </c>
      <c r="K37" s="115"/>
      <c r="L37" s="115"/>
      <c r="M37" s="115"/>
      <c r="N37" s="115"/>
      <c r="O37" s="115"/>
      <c r="P37" s="115"/>
      <c r="Q37" s="115"/>
      <c r="R37" s="115"/>
      <c r="S37" s="144"/>
      <c r="T37" s="116" t="s">
        <v>336</v>
      </c>
    </row>
    <row r="38" spans="1:20" s="117" customFormat="1" ht="31.5">
      <c r="A38" s="111" t="s">
        <v>91</v>
      </c>
      <c r="B38" s="112" t="s">
        <v>393</v>
      </c>
      <c r="C38" s="112" t="s">
        <v>32</v>
      </c>
      <c r="D38" s="112" t="s">
        <v>306</v>
      </c>
      <c r="E38" s="112">
        <v>4</v>
      </c>
      <c r="F38" s="113"/>
      <c r="G38" s="113"/>
      <c r="H38" s="115"/>
      <c r="I38" s="115"/>
      <c r="J38" s="115"/>
      <c r="K38" s="115"/>
      <c r="L38" s="115">
        <f>735.55*E38</f>
        <v>2942.2</v>
      </c>
      <c r="M38" s="115"/>
      <c r="N38" s="115"/>
      <c r="O38" s="115"/>
      <c r="P38" s="115"/>
      <c r="Q38" s="115"/>
      <c r="R38" s="115"/>
      <c r="S38" s="144"/>
      <c r="T38" s="116"/>
    </row>
    <row r="39" spans="1:20" s="117" customFormat="1" ht="31.5">
      <c r="A39" s="111" t="s">
        <v>91</v>
      </c>
      <c r="B39" s="112" t="s">
        <v>380</v>
      </c>
      <c r="C39" s="112" t="s">
        <v>32</v>
      </c>
      <c r="D39" s="112" t="s">
        <v>382</v>
      </c>
      <c r="E39" s="112"/>
      <c r="F39" s="113"/>
      <c r="G39" s="113"/>
      <c r="H39" s="115"/>
      <c r="I39" s="115"/>
      <c r="J39" s="115"/>
      <c r="K39" s="115"/>
      <c r="L39" s="115">
        <f>11407.35/1.13*1.0216</f>
        <v>10313.052000000003</v>
      </c>
      <c r="M39" s="115"/>
      <c r="N39" s="115"/>
      <c r="O39" s="115"/>
      <c r="P39" s="115"/>
      <c r="Q39" s="115"/>
      <c r="R39" s="115"/>
      <c r="S39" s="144"/>
      <c r="T39" s="116"/>
    </row>
    <row r="40" spans="1:20" s="117" customFormat="1" ht="31.5">
      <c r="A40" s="111" t="s">
        <v>91</v>
      </c>
      <c r="B40" s="112" t="s">
        <v>383</v>
      </c>
      <c r="C40" s="112" t="s">
        <v>32</v>
      </c>
      <c r="D40" s="112" t="s">
        <v>391</v>
      </c>
      <c r="E40" s="112"/>
      <c r="F40" s="113"/>
      <c r="G40" s="113"/>
      <c r="H40" s="115"/>
      <c r="I40" s="115"/>
      <c r="J40" s="115"/>
      <c r="K40" s="115"/>
      <c r="L40" s="115">
        <f>1638.5/1.13*1.0216</f>
        <v>1481.3200000000004</v>
      </c>
      <c r="M40" s="115"/>
      <c r="N40" s="115"/>
      <c r="O40" s="115"/>
      <c r="P40" s="115"/>
      <c r="Q40" s="115"/>
      <c r="R40" s="115"/>
      <c r="S40" s="144"/>
      <c r="T40" s="116"/>
    </row>
    <row r="41" spans="1:20" s="117" customFormat="1" ht="31.5">
      <c r="A41" s="111" t="s">
        <v>91</v>
      </c>
      <c r="B41" s="112" t="s">
        <v>383</v>
      </c>
      <c r="C41" s="112" t="s">
        <v>32</v>
      </c>
      <c r="D41" s="112" t="s">
        <v>391</v>
      </c>
      <c r="E41" s="112"/>
      <c r="F41" s="113"/>
      <c r="G41" s="113"/>
      <c r="H41" s="115"/>
      <c r="I41" s="115"/>
      <c r="J41" s="115"/>
      <c r="K41" s="115"/>
      <c r="L41" s="115">
        <f>1638.5/1.13*1.0216</f>
        <v>1481.3200000000004</v>
      </c>
      <c r="M41" s="115"/>
      <c r="N41" s="115"/>
      <c r="O41" s="115"/>
      <c r="P41" s="115"/>
      <c r="Q41" s="115"/>
      <c r="R41" s="115"/>
      <c r="S41" s="144"/>
      <c r="T41" s="116"/>
    </row>
    <row r="42" spans="1:20" s="117" customFormat="1" ht="31.5">
      <c r="A42" s="111" t="s">
        <v>91</v>
      </c>
      <c r="B42" s="112" t="s">
        <v>295</v>
      </c>
      <c r="C42" s="112" t="s">
        <v>32</v>
      </c>
      <c r="D42" s="112" t="s">
        <v>362</v>
      </c>
      <c r="E42" s="148"/>
      <c r="F42" s="113"/>
      <c r="G42" s="113"/>
      <c r="H42" s="115"/>
      <c r="I42" s="115">
        <v>39740.239999999998</v>
      </c>
      <c r="J42" s="115"/>
      <c r="K42" s="115"/>
      <c r="L42" s="115"/>
      <c r="M42" s="115"/>
      <c r="N42" s="115"/>
      <c r="O42" s="115"/>
      <c r="P42" s="115"/>
      <c r="Q42" s="115"/>
      <c r="R42" s="115"/>
      <c r="S42" s="144"/>
      <c r="T42" s="116"/>
    </row>
    <row r="43" spans="1:20" s="117" customFormat="1" ht="31.5">
      <c r="A43" s="111" t="s">
        <v>364</v>
      </c>
      <c r="B43" s="112" t="s">
        <v>384</v>
      </c>
      <c r="C43" s="112" t="s">
        <v>32</v>
      </c>
      <c r="D43" s="112" t="s">
        <v>391</v>
      </c>
      <c r="E43" s="112"/>
      <c r="F43" s="113"/>
      <c r="G43" s="113"/>
      <c r="H43" s="115"/>
      <c r="I43" s="115"/>
      <c r="J43" s="115"/>
      <c r="K43" s="115"/>
      <c r="L43" s="115"/>
      <c r="M43" s="115">
        <f>1204.72*1.0216</f>
        <v>1230.7419520000001</v>
      </c>
      <c r="N43" s="115"/>
      <c r="O43" s="115"/>
      <c r="P43" s="115"/>
      <c r="Q43" s="115"/>
      <c r="R43" s="115"/>
      <c r="S43" s="144"/>
      <c r="T43" s="116"/>
    </row>
    <row r="44" spans="1:20" s="117" customFormat="1" ht="31.5">
      <c r="A44" s="111" t="s">
        <v>364</v>
      </c>
      <c r="B44" s="112" t="s">
        <v>384</v>
      </c>
      <c r="C44" s="112" t="s">
        <v>32</v>
      </c>
      <c r="D44" s="112" t="s">
        <v>391</v>
      </c>
      <c r="E44" s="112"/>
      <c r="F44" s="113"/>
      <c r="G44" s="113"/>
      <c r="H44" s="115"/>
      <c r="I44" s="115"/>
      <c r="J44" s="115"/>
      <c r="K44" s="115"/>
      <c r="L44" s="115"/>
      <c r="M44" s="115">
        <f>300*1.0216</f>
        <v>306.48</v>
      </c>
      <c r="N44" s="115"/>
      <c r="O44" s="115"/>
      <c r="P44" s="115"/>
      <c r="Q44" s="115"/>
      <c r="R44" s="115"/>
      <c r="S44" s="144"/>
      <c r="T44" s="116"/>
    </row>
    <row r="45" spans="1:20" s="117" customFormat="1" ht="31.5">
      <c r="A45" s="111" t="s">
        <v>364</v>
      </c>
      <c r="B45" s="112" t="s">
        <v>393</v>
      </c>
      <c r="C45" s="112" t="s">
        <v>32</v>
      </c>
      <c r="D45" s="112" t="s">
        <v>306</v>
      </c>
      <c r="E45" s="112">
        <v>9</v>
      </c>
      <c r="F45" s="113"/>
      <c r="G45" s="113"/>
      <c r="H45" s="115"/>
      <c r="I45" s="115"/>
      <c r="J45" s="115"/>
      <c r="K45" s="115"/>
      <c r="L45" s="115">
        <f>735.55*E45</f>
        <v>6619.95</v>
      </c>
      <c r="M45" s="115"/>
      <c r="N45" s="115"/>
      <c r="O45" s="115"/>
      <c r="P45" s="115"/>
      <c r="Q45" s="115"/>
      <c r="R45" s="115"/>
      <c r="S45" s="144"/>
      <c r="T45" s="116"/>
    </row>
    <row r="46" spans="1:20" s="117" customFormat="1" ht="31.5">
      <c r="A46" s="111" t="s">
        <v>364</v>
      </c>
      <c r="B46" s="112" t="s">
        <v>367</v>
      </c>
      <c r="C46" s="112" t="s">
        <v>33</v>
      </c>
      <c r="D46" s="112" t="s">
        <v>362</v>
      </c>
      <c r="E46" s="112"/>
      <c r="F46" s="113"/>
      <c r="G46" s="113"/>
      <c r="H46" s="115"/>
      <c r="I46" s="115"/>
      <c r="J46" s="115"/>
      <c r="K46" s="115"/>
      <c r="L46" s="115"/>
      <c r="M46" s="115"/>
      <c r="N46" s="115"/>
      <c r="O46" s="115"/>
      <c r="P46" s="115"/>
      <c r="Q46" s="115"/>
      <c r="R46" s="115"/>
      <c r="S46" s="115">
        <v>50000</v>
      </c>
      <c r="T46" s="116"/>
    </row>
    <row r="47" spans="1:20" s="117" customFormat="1" ht="31.5">
      <c r="A47" s="111" t="s">
        <v>365</v>
      </c>
      <c r="B47" s="112" t="s">
        <v>393</v>
      </c>
      <c r="C47" s="112" t="s">
        <v>32</v>
      </c>
      <c r="D47" s="112" t="s">
        <v>306</v>
      </c>
      <c r="E47" s="112">
        <v>8</v>
      </c>
      <c r="F47" s="113"/>
      <c r="G47" s="113"/>
      <c r="H47" s="115"/>
      <c r="I47" s="115"/>
      <c r="J47" s="115"/>
      <c r="K47" s="115"/>
      <c r="L47" s="115">
        <f>735.55*E47</f>
        <v>5884.4</v>
      </c>
      <c r="M47" s="115"/>
      <c r="N47" s="115"/>
      <c r="O47" s="115"/>
      <c r="P47" s="115"/>
      <c r="Q47" s="115"/>
      <c r="R47" s="115"/>
      <c r="S47" s="144"/>
      <c r="T47" s="116"/>
    </row>
    <row r="48" spans="1:20" s="117" customFormat="1" ht="31.5">
      <c r="A48" s="111" t="s">
        <v>365</v>
      </c>
      <c r="B48" s="112" t="s">
        <v>372</v>
      </c>
      <c r="C48" s="112" t="s">
        <v>33</v>
      </c>
      <c r="D48" s="112" t="s">
        <v>325</v>
      </c>
      <c r="E48" s="112"/>
      <c r="F48" s="113"/>
      <c r="G48" s="113"/>
      <c r="H48" s="115"/>
      <c r="I48" s="115"/>
      <c r="J48" s="115"/>
      <c r="K48" s="115"/>
      <c r="L48" s="115"/>
      <c r="M48" s="115"/>
      <c r="N48" s="115"/>
      <c r="O48" s="115"/>
      <c r="P48" s="115"/>
      <c r="Q48" s="115"/>
      <c r="R48" s="115"/>
      <c r="S48" s="115">
        <v>75000</v>
      </c>
      <c r="T48" s="116"/>
    </row>
    <row r="49" spans="1:20" s="117" customFormat="1" ht="31.5">
      <c r="A49" s="111" t="s">
        <v>365</v>
      </c>
      <c r="B49" s="112" t="s">
        <v>373</v>
      </c>
      <c r="C49" s="112" t="s">
        <v>33</v>
      </c>
      <c r="D49" s="112" t="s">
        <v>362</v>
      </c>
      <c r="E49" s="112"/>
      <c r="F49" s="113"/>
      <c r="G49" s="113"/>
      <c r="H49" s="115"/>
      <c r="I49" s="115"/>
      <c r="J49" s="115"/>
      <c r="K49" s="115"/>
      <c r="L49" s="115"/>
      <c r="M49" s="164"/>
      <c r="N49" s="164"/>
      <c r="O49" s="115"/>
      <c r="P49" s="115"/>
      <c r="Q49" s="115"/>
      <c r="R49" s="115"/>
      <c r="S49" s="115">
        <v>400000</v>
      </c>
      <c r="T49" s="116"/>
    </row>
    <row r="50" spans="1:20" s="117" customFormat="1" ht="31.5">
      <c r="A50" s="111" t="s">
        <v>279</v>
      </c>
      <c r="B50" s="112" t="s">
        <v>280</v>
      </c>
      <c r="C50" s="112" t="s">
        <v>32</v>
      </c>
      <c r="D50" s="112" t="s">
        <v>362</v>
      </c>
      <c r="E50" s="148"/>
      <c r="F50" s="113"/>
      <c r="G50" s="113"/>
      <c r="H50" s="115"/>
      <c r="I50" s="115">
        <v>51023.81</v>
      </c>
      <c r="J50" s="115"/>
      <c r="K50" s="115"/>
      <c r="L50" s="115"/>
      <c r="M50" s="115"/>
      <c r="N50" s="115"/>
      <c r="O50" s="115"/>
      <c r="P50" s="115"/>
      <c r="Q50" s="115"/>
      <c r="R50" s="115"/>
      <c r="S50" s="143"/>
      <c r="T50" s="116" t="s">
        <v>281</v>
      </c>
    </row>
    <row r="51" spans="1:20" s="117" customFormat="1">
      <c r="A51" s="111" t="s">
        <v>97</v>
      </c>
      <c r="B51" s="112" t="s">
        <v>393</v>
      </c>
      <c r="C51" s="112" t="s">
        <v>32</v>
      </c>
      <c r="D51" s="112" t="s">
        <v>306</v>
      </c>
      <c r="E51" s="112">
        <v>8</v>
      </c>
      <c r="F51" s="113"/>
      <c r="G51" s="113"/>
      <c r="H51" s="115"/>
      <c r="I51" s="115"/>
      <c r="J51" s="115"/>
      <c r="K51" s="115"/>
      <c r="L51" s="115">
        <f>735.55*E51</f>
        <v>5884.4</v>
      </c>
      <c r="M51" s="115"/>
      <c r="N51" s="115"/>
      <c r="O51" s="115"/>
      <c r="P51" s="115"/>
      <c r="Q51" s="115"/>
      <c r="R51" s="115"/>
      <c r="S51" s="144"/>
      <c r="T51" s="116"/>
    </row>
    <row r="52" spans="1:20" s="117" customFormat="1" ht="47.25">
      <c r="A52" s="111" t="s">
        <v>97</v>
      </c>
      <c r="B52" s="112" t="s">
        <v>282</v>
      </c>
      <c r="C52" s="112" t="s">
        <v>32</v>
      </c>
      <c r="D52" s="112" t="s">
        <v>362</v>
      </c>
      <c r="E52" s="148"/>
      <c r="F52" s="159"/>
      <c r="G52" s="159"/>
      <c r="H52" s="115"/>
      <c r="I52" s="115"/>
      <c r="J52" s="115"/>
      <c r="K52" s="115">
        <v>151974.46</v>
      </c>
      <c r="L52" s="115"/>
      <c r="M52" s="115"/>
      <c r="N52" s="115"/>
      <c r="O52" s="115"/>
      <c r="P52" s="115"/>
      <c r="Q52" s="115"/>
      <c r="R52" s="115"/>
      <c r="S52" s="143"/>
      <c r="T52" s="116" t="s">
        <v>283</v>
      </c>
    </row>
    <row r="53" spans="1:20" s="117" customFormat="1" ht="31.5">
      <c r="A53" s="111" t="s">
        <v>99</v>
      </c>
      <c r="B53" s="112" t="s">
        <v>314</v>
      </c>
      <c r="C53" s="112" t="s">
        <v>32</v>
      </c>
      <c r="D53" s="112" t="s">
        <v>325</v>
      </c>
      <c r="E53" s="148"/>
      <c r="F53" s="113"/>
      <c r="G53" s="113"/>
      <c r="H53" s="115">
        <f>31130*1.0216</f>
        <v>31802.408000000003</v>
      </c>
      <c r="I53" s="115"/>
      <c r="J53" s="115"/>
      <c r="K53" s="115"/>
      <c r="L53" s="115"/>
      <c r="M53" s="115"/>
      <c r="N53" s="115"/>
      <c r="O53" s="115"/>
      <c r="P53" s="115"/>
      <c r="Q53" s="115"/>
      <c r="R53" s="115"/>
      <c r="S53" s="144"/>
      <c r="T53" s="116" t="s">
        <v>339</v>
      </c>
    </row>
    <row r="54" spans="1:20" s="117" customFormat="1">
      <c r="A54" s="111" t="s">
        <v>99</v>
      </c>
      <c r="B54" s="112" t="s">
        <v>393</v>
      </c>
      <c r="C54" s="112" t="s">
        <v>32</v>
      </c>
      <c r="D54" s="112" t="s">
        <v>306</v>
      </c>
      <c r="E54" s="112">
        <v>10</v>
      </c>
      <c r="F54" s="113"/>
      <c r="G54" s="113"/>
      <c r="H54" s="115"/>
      <c r="I54" s="115"/>
      <c r="J54" s="115"/>
      <c r="K54" s="115"/>
      <c r="L54" s="115">
        <f>735.55*E54</f>
        <v>7355.5</v>
      </c>
      <c r="M54" s="115"/>
      <c r="N54" s="115"/>
      <c r="O54" s="115"/>
      <c r="P54" s="115"/>
      <c r="Q54" s="115"/>
      <c r="R54" s="115"/>
      <c r="S54" s="144"/>
      <c r="T54" s="116"/>
    </row>
    <row r="55" spans="1:20" s="117" customFormat="1" ht="31.5">
      <c r="A55" s="111" t="s">
        <v>99</v>
      </c>
      <c r="B55" s="112" t="s">
        <v>274</v>
      </c>
      <c r="C55" s="112" t="s">
        <v>32</v>
      </c>
      <c r="D55" s="112" t="s">
        <v>362</v>
      </c>
      <c r="E55" s="148"/>
      <c r="F55" s="113"/>
      <c r="G55" s="113"/>
      <c r="H55" s="115"/>
      <c r="I55" s="115">
        <v>48117.36</v>
      </c>
      <c r="J55" s="115"/>
      <c r="K55" s="115"/>
      <c r="L55" s="115"/>
      <c r="M55" s="115"/>
      <c r="N55" s="115"/>
      <c r="O55" s="115"/>
      <c r="P55" s="115"/>
      <c r="Q55" s="115"/>
      <c r="R55" s="115"/>
      <c r="S55" s="143"/>
      <c r="T55" s="116" t="s">
        <v>275</v>
      </c>
    </row>
    <row r="56" spans="1:20" s="117" customFormat="1" ht="31.5">
      <c r="A56" s="111" t="s">
        <v>99</v>
      </c>
      <c r="B56" s="112" t="s">
        <v>319</v>
      </c>
      <c r="C56" s="112" t="s">
        <v>32</v>
      </c>
      <c r="D56" s="112" t="s">
        <v>362</v>
      </c>
      <c r="E56" s="148"/>
      <c r="F56" s="113"/>
      <c r="G56" s="113">
        <v>1</v>
      </c>
      <c r="H56" s="144"/>
      <c r="I56" s="115"/>
      <c r="J56" s="115">
        <f>71070*1.0216</f>
        <v>72605.112000000008</v>
      </c>
      <c r="K56" s="115"/>
      <c r="L56" s="115"/>
      <c r="M56" s="115"/>
      <c r="N56" s="164"/>
      <c r="O56" s="164"/>
      <c r="P56" s="115"/>
      <c r="Q56" s="115"/>
      <c r="R56" s="115"/>
      <c r="S56" s="144"/>
      <c r="T56" s="116" t="s">
        <v>338</v>
      </c>
    </row>
    <row r="57" spans="1:20" s="117" customFormat="1">
      <c r="A57" s="111" t="s">
        <v>99</v>
      </c>
      <c r="B57" s="112" t="s">
        <v>368</v>
      </c>
      <c r="C57" s="112" t="s">
        <v>32</v>
      </c>
      <c r="D57" s="112" t="s">
        <v>362</v>
      </c>
      <c r="E57" s="112"/>
      <c r="F57" s="113"/>
      <c r="G57" s="113"/>
      <c r="H57" s="115"/>
      <c r="I57" s="115"/>
      <c r="J57" s="115"/>
      <c r="K57" s="115"/>
      <c r="L57" s="115"/>
      <c r="M57" s="115"/>
      <c r="N57" s="115"/>
      <c r="O57" s="115"/>
      <c r="P57" s="115"/>
      <c r="Q57" s="115"/>
      <c r="R57" s="115"/>
      <c r="S57" s="115">
        <v>300000</v>
      </c>
      <c r="T57" s="116"/>
    </row>
    <row r="58" spans="1:20" s="117" customFormat="1">
      <c r="A58" s="111" t="s">
        <v>101</v>
      </c>
      <c r="B58" s="112" t="s">
        <v>318</v>
      </c>
      <c r="C58" s="112" t="s">
        <v>32</v>
      </c>
      <c r="D58" s="112" t="s">
        <v>325</v>
      </c>
      <c r="E58" s="148"/>
      <c r="F58" s="113"/>
      <c r="G58" s="113"/>
      <c r="H58" s="115"/>
      <c r="I58" s="115"/>
      <c r="J58" s="115"/>
      <c r="K58" s="115"/>
      <c r="L58" s="115"/>
      <c r="M58" s="115">
        <v>4339.55</v>
      </c>
      <c r="N58" s="115"/>
      <c r="O58" s="115"/>
      <c r="P58" s="115"/>
      <c r="Q58" s="115"/>
      <c r="R58" s="115"/>
      <c r="S58" s="144"/>
      <c r="T58" s="116"/>
    </row>
    <row r="59" spans="1:20" s="117" customFormat="1">
      <c r="A59" s="111" t="s">
        <v>101</v>
      </c>
      <c r="B59" s="112" t="s">
        <v>383</v>
      </c>
      <c r="C59" s="112" t="s">
        <v>32</v>
      </c>
      <c r="D59" s="112" t="s">
        <v>391</v>
      </c>
      <c r="E59" s="112"/>
      <c r="F59" s="113"/>
      <c r="G59" s="113"/>
      <c r="H59" s="115"/>
      <c r="I59" s="115"/>
      <c r="J59" s="115"/>
      <c r="K59" s="115"/>
      <c r="L59" s="115">
        <f>932.25/1.13*1.0216</f>
        <v>842.82000000000016</v>
      </c>
      <c r="M59" s="115"/>
      <c r="N59" s="115"/>
      <c r="O59" s="115"/>
      <c r="P59" s="115"/>
      <c r="Q59" s="115"/>
      <c r="R59" s="115"/>
      <c r="S59" s="144"/>
      <c r="T59" s="116"/>
    </row>
    <row r="60" spans="1:20" s="117" customFormat="1">
      <c r="A60" s="111" t="s">
        <v>101</v>
      </c>
      <c r="B60" s="112" t="s">
        <v>383</v>
      </c>
      <c r="C60" s="112" t="s">
        <v>32</v>
      </c>
      <c r="D60" s="112" t="s">
        <v>391</v>
      </c>
      <c r="E60" s="112"/>
      <c r="F60" s="113"/>
      <c r="G60" s="113"/>
      <c r="H60" s="115"/>
      <c r="I60" s="115"/>
      <c r="J60" s="115"/>
      <c r="K60" s="115"/>
      <c r="L60" s="115">
        <f>932.25/1.13*1.0216</f>
        <v>842.82000000000016</v>
      </c>
      <c r="M60" s="115"/>
      <c r="N60" s="115"/>
      <c r="O60" s="115"/>
      <c r="P60" s="115"/>
      <c r="Q60" s="115"/>
      <c r="R60" s="115"/>
      <c r="S60" s="144"/>
      <c r="T60" s="116"/>
    </row>
    <row r="61" spans="1:20" s="117" customFormat="1">
      <c r="A61" s="111" t="s">
        <v>101</v>
      </c>
      <c r="B61" s="112" t="s">
        <v>393</v>
      </c>
      <c r="C61" s="112" t="s">
        <v>32</v>
      </c>
      <c r="D61" s="112" t="s">
        <v>306</v>
      </c>
      <c r="E61" s="112">
        <v>1</v>
      </c>
      <c r="F61" s="113"/>
      <c r="G61" s="113"/>
      <c r="H61" s="115"/>
      <c r="I61" s="115"/>
      <c r="J61" s="115"/>
      <c r="K61" s="115"/>
      <c r="L61" s="115">
        <f>735.55*E61</f>
        <v>735.55</v>
      </c>
      <c r="M61" s="115"/>
      <c r="N61" s="115"/>
      <c r="O61" s="115"/>
      <c r="P61" s="115"/>
      <c r="Q61" s="115"/>
      <c r="R61" s="115"/>
      <c r="S61" s="144"/>
      <c r="T61" s="116"/>
    </row>
    <row r="62" spans="1:20" s="117" customFormat="1">
      <c r="A62" s="111" t="s">
        <v>398</v>
      </c>
      <c r="B62" s="112" t="s">
        <v>384</v>
      </c>
      <c r="C62" s="112" t="s">
        <v>32</v>
      </c>
      <c r="D62" s="112" t="s">
        <v>391</v>
      </c>
      <c r="E62" s="112"/>
      <c r="F62" s="113"/>
      <c r="G62" s="113"/>
      <c r="H62" s="115"/>
      <c r="I62" s="115"/>
      <c r="J62" s="115"/>
      <c r="K62" s="115"/>
      <c r="L62" s="115"/>
      <c r="M62" s="115">
        <f>5760*1.0216</f>
        <v>5884.4160000000002</v>
      </c>
      <c r="N62" s="115"/>
      <c r="O62" s="115"/>
      <c r="P62" s="115"/>
      <c r="Q62" s="115"/>
      <c r="R62" s="115"/>
      <c r="S62" s="144"/>
      <c r="T62" s="116"/>
    </row>
    <row r="63" spans="1:20" s="117" customFormat="1" ht="31.5">
      <c r="A63" s="111" t="s">
        <v>103</v>
      </c>
      <c r="B63" s="112" t="s">
        <v>393</v>
      </c>
      <c r="C63" s="112" t="s">
        <v>32</v>
      </c>
      <c r="D63" s="112" t="s">
        <v>306</v>
      </c>
      <c r="E63" s="112">
        <v>5</v>
      </c>
      <c r="F63" s="113"/>
      <c r="G63" s="113"/>
      <c r="H63" s="115"/>
      <c r="I63" s="115"/>
      <c r="J63" s="115"/>
      <c r="K63" s="115"/>
      <c r="L63" s="115">
        <f>735.55*E63</f>
        <v>3677.75</v>
      </c>
      <c r="M63" s="115"/>
      <c r="N63" s="115"/>
      <c r="O63" s="115"/>
      <c r="P63" s="115"/>
      <c r="Q63" s="115"/>
      <c r="R63" s="115"/>
      <c r="S63" s="144"/>
      <c r="T63" s="116"/>
    </row>
    <row r="64" spans="1:20" s="117" customFormat="1" ht="31.5">
      <c r="A64" s="111" t="s">
        <v>103</v>
      </c>
      <c r="B64" s="112" t="s">
        <v>383</v>
      </c>
      <c r="C64" s="112" t="s">
        <v>32</v>
      </c>
      <c r="D64" s="112" t="s">
        <v>391</v>
      </c>
      <c r="E64" s="112"/>
      <c r="F64" s="113"/>
      <c r="G64" s="113"/>
      <c r="H64" s="115"/>
      <c r="I64" s="115"/>
      <c r="J64" s="115"/>
      <c r="K64" s="115"/>
      <c r="L64" s="115">
        <f>1073.5/1.13*1.0216</f>
        <v>970.52000000000021</v>
      </c>
      <c r="M64" s="115"/>
      <c r="N64" s="115"/>
      <c r="O64" s="115"/>
      <c r="P64" s="115"/>
      <c r="Q64" s="115"/>
      <c r="R64" s="115"/>
      <c r="S64" s="144"/>
      <c r="T64" s="116"/>
    </row>
    <row r="65" spans="1:20" s="117" customFormat="1" ht="31.5">
      <c r="A65" s="111" t="s">
        <v>103</v>
      </c>
      <c r="B65" s="112" t="s">
        <v>383</v>
      </c>
      <c r="C65" s="112" t="s">
        <v>32</v>
      </c>
      <c r="D65" s="112" t="s">
        <v>391</v>
      </c>
      <c r="E65" s="112"/>
      <c r="F65" s="113"/>
      <c r="G65" s="113"/>
      <c r="H65" s="115"/>
      <c r="I65" s="115"/>
      <c r="J65" s="115"/>
      <c r="K65" s="115"/>
      <c r="L65" s="115">
        <f>1073.5/1.13*1.0216</f>
        <v>970.52000000000021</v>
      </c>
      <c r="M65" s="115"/>
      <c r="N65" s="115"/>
      <c r="O65" s="115"/>
      <c r="P65" s="115"/>
      <c r="Q65" s="115"/>
      <c r="R65" s="115"/>
      <c r="S65" s="144"/>
      <c r="T65" s="116"/>
    </row>
    <row r="66" spans="1:20" s="117" customFormat="1" ht="31.5">
      <c r="A66" s="111" t="s">
        <v>105</v>
      </c>
      <c r="B66" s="112" t="s">
        <v>390</v>
      </c>
      <c r="C66" s="112" t="s">
        <v>32</v>
      </c>
      <c r="D66" s="112" t="s">
        <v>306</v>
      </c>
      <c r="E66" s="112">
        <v>2</v>
      </c>
      <c r="F66" s="113"/>
      <c r="G66" s="113"/>
      <c r="H66" s="115"/>
      <c r="I66" s="115"/>
      <c r="J66" s="115"/>
      <c r="K66" s="115"/>
      <c r="L66" s="115"/>
      <c r="M66" s="115"/>
      <c r="N66" s="115"/>
      <c r="O66" s="115">
        <f>681.818181818182*2</f>
        <v>1363.636363636364</v>
      </c>
      <c r="P66" s="115"/>
      <c r="Q66" s="115"/>
      <c r="R66" s="115"/>
      <c r="S66" s="144"/>
      <c r="T66" s="116"/>
    </row>
    <row r="67" spans="1:20" s="117" customFormat="1" ht="31.5">
      <c r="A67" s="111" t="s">
        <v>107</v>
      </c>
      <c r="B67" s="112" t="s">
        <v>383</v>
      </c>
      <c r="C67" s="112" t="s">
        <v>32</v>
      </c>
      <c r="D67" s="112" t="s">
        <v>391</v>
      </c>
      <c r="E67" s="112"/>
      <c r="F67" s="113"/>
      <c r="G67" s="113"/>
      <c r="H67" s="115"/>
      <c r="I67" s="115"/>
      <c r="J67" s="115"/>
      <c r="K67" s="115"/>
      <c r="L67" s="115">
        <f>627.15/1.13*1.0216</f>
        <v>566.98800000000006</v>
      </c>
      <c r="M67" s="115"/>
      <c r="N67" s="115"/>
      <c r="O67" s="115"/>
      <c r="P67" s="115"/>
      <c r="Q67" s="115"/>
      <c r="R67" s="115"/>
      <c r="S67" s="144"/>
      <c r="T67" s="116"/>
    </row>
    <row r="68" spans="1:20" s="117" customFormat="1" ht="31.5">
      <c r="A68" s="111" t="s">
        <v>107</v>
      </c>
      <c r="B68" s="112" t="s">
        <v>383</v>
      </c>
      <c r="C68" s="112" t="s">
        <v>32</v>
      </c>
      <c r="D68" s="112" t="s">
        <v>391</v>
      </c>
      <c r="E68" s="112"/>
      <c r="F68" s="113"/>
      <c r="G68" s="113"/>
      <c r="H68" s="115"/>
      <c r="I68" s="115"/>
      <c r="J68" s="115"/>
      <c r="K68" s="115"/>
      <c r="L68" s="115">
        <f>627.15/1.13*1.0216</f>
        <v>566.98800000000006</v>
      </c>
      <c r="M68" s="115"/>
      <c r="N68" s="115"/>
      <c r="O68" s="115"/>
      <c r="P68" s="115"/>
      <c r="Q68" s="115"/>
      <c r="R68" s="115"/>
      <c r="S68" s="144"/>
      <c r="T68" s="116"/>
    </row>
    <row r="69" spans="1:20" s="117" customFormat="1" ht="31.5">
      <c r="A69" s="111" t="s">
        <v>107</v>
      </c>
      <c r="B69" s="112" t="s">
        <v>393</v>
      </c>
      <c r="C69" s="112" t="s">
        <v>32</v>
      </c>
      <c r="D69" s="112" t="s">
        <v>306</v>
      </c>
      <c r="E69" s="112">
        <v>15</v>
      </c>
      <c r="F69" s="113"/>
      <c r="G69" s="113"/>
      <c r="H69" s="115"/>
      <c r="I69" s="115"/>
      <c r="J69" s="115"/>
      <c r="K69" s="115"/>
      <c r="L69" s="115">
        <f>735.55*E69</f>
        <v>11033.25</v>
      </c>
      <c r="M69" s="115"/>
      <c r="N69" s="115"/>
      <c r="O69" s="115"/>
      <c r="P69" s="115"/>
      <c r="Q69" s="115"/>
      <c r="R69" s="115"/>
      <c r="S69" s="144"/>
      <c r="T69" s="116"/>
    </row>
    <row r="70" spans="1:20" s="117" customFormat="1">
      <c r="A70" s="111" t="s">
        <v>109</v>
      </c>
      <c r="B70" s="112" t="s">
        <v>318</v>
      </c>
      <c r="C70" s="112" t="s">
        <v>32</v>
      </c>
      <c r="D70" s="112" t="s">
        <v>325</v>
      </c>
      <c r="E70" s="148"/>
      <c r="F70" s="113"/>
      <c r="G70" s="113"/>
      <c r="H70" s="115"/>
      <c r="I70" s="115"/>
      <c r="J70" s="115"/>
      <c r="K70" s="115"/>
      <c r="L70" s="115"/>
      <c r="M70" s="115">
        <v>4817.96</v>
      </c>
      <c r="N70" s="115"/>
      <c r="O70" s="115"/>
      <c r="P70" s="115"/>
      <c r="Q70" s="115"/>
      <c r="R70" s="115"/>
      <c r="S70" s="144"/>
      <c r="T70" s="116"/>
    </row>
    <row r="71" spans="1:20" s="117" customFormat="1">
      <c r="A71" s="111" t="s">
        <v>109</v>
      </c>
      <c r="B71" s="112" t="s">
        <v>384</v>
      </c>
      <c r="C71" s="112" t="s">
        <v>32</v>
      </c>
      <c r="D71" s="112" t="s">
        <v>391</v>
      </c>
      <c r="E71" s="112"/>
      <c r="F71" s="113"/>
      <c r="G71" s="113"/>
      <c r="H71" s="115"/>
      <c r="I71" s="115"/>
      <c r="J71" s="115"/>
      <c r="K71" s="115"/>
      <c r="L71" s="115"/>
      <c r="M71" s="115">
        <f>6800*1.0216</f>
        <v>6946.88</v>
      </c>
      <c r="N71" s="115"/>
      <c r="O71" s="115"/>
      <c r="P71" s="115"/>
      <c r="Q71" s="115"/>
      <c r="R71" s="115"/>
      <c r="S71" s="144"/>
      <c r="T71" s="116"/>
    </row>
    <row r="72" spans="1:20" s="117" customFormat="1">
      <c r="A72" s="111" t="s">
        <v>109</v>
      </c>
      <c r="B72" s="112" t="s">
        <v>393</v>
      </c>
      <c r="C72" s="112" t="s">
        <v>32</v>
      </c>
      <c r="D72" s="112" t="s">
        <v>306</v>
      </c>
      <c r="E72" s="112">
        <v>14</v>
      </c>
      <c r="F72" s="113"/>
      <c r="G72" s="113"/>
      <c r="H72" s="115"/>
      <c r="I72" s="115"/>
      <c r="J72" s="115"/>
      <c r="K72" s="115"/>
      <c r="L72" s="115">
        <f>735.55*E72</f>
        <v>10297.699999999999</v>
      </c>
      <c r="M72" s="115"/>
      <c r="N72" s="115"/>
      <c r="O72" s="115"/>
      <c r="P72" s="115"/>
      <c r="Q72" s="115"/>
      <c r="R72" s="115"/>
      <c r="S72" s="144"/>
      <c r="T72" s="116"/>
    </row>
    <row r="73" spans="1:20" s="117" customFormat="1">
      <c r="A73" s="111" t="s">
        <v>399</v>
      </c>
      <c r="B73" s="112" t="s">
        <v>383</v>
      </c>
      <c r="C73" s="112" t="s">
        <v>32</v>
      </c>
      <c r="D73" s="112" t="s">
        <v>391</v>
      </c>
      <c r="E73" s="112"/>
      <c r="F73" s="113"/>
      <c r="G73" s="113"/>
      <c r="H73" s="115"/>
      <c r="I73" s="115"/>
      <c r="J73" s="115"/>
      <c r="K73" s="115"/>
      <c r="L73" s="115">
        <f>878.86/1.13*1.0216</f>
        <v>794.55166017699128</v>
      </c>
      <c r="M73" s="115"/>
      <c r="N73" s="115"/>
      <c r="O73" s="115"/>
      <c r="P73" s="115"/>
      <c r="Q73" s="115"/>
      <c r="R73" s="115"/>
      <c r="S73" s="144"/>
      <c r="T73" s="116"/>
    </row>
    <row r="74" spans="1:20" s="117" customFormat="1">
      <c r="A74" s="111" t="s">
        <v>399</v>
      </c>
      <c r="B74" s="112" t="s">
        <v>383</v>
      </c>
      <c r="C74" s="112" t="s">
        <v>32</v>
      </c>
      <c r="D74" s="112" t="s">
        <v>391</v>
      </c>
      <c r="E74" s="112"/>
      <c r="F74" s="113"/>
      <c r="G74" s="113"/>
      <c r="H74" s="115"/>
      <c r="I74" s="115"/>
      <c r="J74" s="115"/>
      <c r="K74" s="115"/>
      <c r="L74" s="115">
        <f>881.4/1.13*1.0216</f>
        <v>796.84800000000007</v>
      </c>
      <c r="M74" s="115"/>
      <c r="N74" s="115"/>
      <c r="O74" s="115"/>
      <c r="P74" s="115"/>
      <c r="Q74" s="115"/>
      <c r="R74" s="115"/>
      <c r="S74" s="144"/>
      <c r="T74" s="116"/>
    </row>
    <row r="75" spans="1:20" s="117" customFormat="1">
      <c r="A75" s="111" t="s">
        <v>399</v>
      </c>
      <c r="B75" s="112" t="s">
        <v>383</v>
      </c>
      <c r="C75" s="112" t="s">
        <v>32</v>
      </c>
      <c r="D75" s="112" t="s">
        <v>391</v>
      </c>
      <c r="E75" s="112"/>
      <c r="F75" s="113"/>
      <c r="G75" s="113"/>
      <c r="H75" s="115"/>
      <c r="I75" s="115"/>
      <c r="J75" s="115"/>
      <c r="K75" s="115"/>
      <c r="L75" s="115">
        <f>881.4/1.13*1.0216</f>
        <v>796.84800000000007</v>
      </c>
      <c r="M75" s="115"/>
      <c r="N75" s="115"/>
      <c r="O75" s="115"/>
      <c r="P75" s="115"/>
      <c r="Q75" s="115"/>
      <c r="R75" s="115"/>
      <c r="S75" s="144"/>
      <c r="T75" s="116"/>
    </row>
    <row r="76" spans="1:20" s="117" customFormat="1">
      <c r="A76" s="111" t="s">
        <v>392</v>
      </c>
      <c r="B76" s="112" t="s">
        <v>384</v>
      </c>
      <c r="C76" s="112" t="s">
        <v>32</v>
      </c>
      <c r="D76" s="112" t="s">
        <v>391</v>
      </c>
      <c r="E76" s="112"/>
      <c r="F76" s="113"/>
      <c r="G76" s="113"/>
      <c r="H76" s="115"/>
      <c r="I76" s="115"/>
      <c r="J76" s="115"/>
      <c r="K76" s="115"/>
      <c r="L76" s="115"/>
      <c r="M76" s="115">
        <f>13200*1.0216</f>
        <v>13485.12</v>
      </c>
      <c r="N76" s="115"/>
      <c r="O76" s="115"/>
      <c r="P76" s="115"/>
      <c r="Q76" s="115"/>
      <c r="R76" s="115"/>
      <c r="S76" s="144"/>
      <c r="T76" s="116"/>
    </row>
    <row r="77" spans="1:20" s="117" customFormat="1">
      <c r="A77" s="111" t="s">
        <v>392</v>
      </c>
      <c r="B77" s="112" t="s">
        <v>393</v>
      </c>
      <c r="C77" s="112" t="s">
        <v>32</v>
      </c>
      <c r="D77" s="112" t="s">
        <v>306</v>
      </c>
      <c r="E77" s="112">
        <v>5</v>
      </c>
      <c r="F77" s="113"/>
      <c r="G77" s="113"/>
      <c r="H77" s="115"/>
      <c r="I77" s="115"/>
      <c r="J77" s="115"/>
      <c r="K77" s="115"/>
      <c r="L77" s="115">
        <f>735.55*E77</f>
        <v>3677.75</v>
      </c>
      <c r="M77" s="115"/>
      <c r="N77" s="115"/>
      <c r="O77" s="115"/>
      <c r="P77" s="115"/>
      <c r="Q77" s="115"/>
      <c r="R77" s="115"/>
      <c r="S77" s="144"/>
      <c r="T77" s="116"/>
    </row>
    <row r="78" spans="1:20" s="117" customFormat="1">
      <c r="A78" s="111" t="s">
        <v>113</v>
      </c>
      <c r="B78" s="112" t="s">
        <v>318</v>
      </c>
      <c r="C78" s="112" t="s">
        <v>32</v>
      </c>
      <c r="D78" s="112" t="s">
        <v>325</v>
      </c>
      <c r="E78" s="148"/>
      <c r="F78" s="113"/>
      <c r="G78" s="113"/>
      <c r="H78" s="115"/>
      <c r="I78" s="115"/>
      <c r="J78" s="115"/>
      <c r="K78" s="115"/>
      <c r="L78" s="115"/>
      <c r="M78" s="115">
        <v>2941.26</v>
      </c>
      <c r="N78" s="115"/>
      <c r="O78" s="115"/>
      <c r="P78" s="115"/>
      <c r="Q78" s="115"/>
      <c r="R78" s="115"/>
      <c r="S78" s="144"/>
      <c r="T78" s="116"/>
    </row>
    <row r="79" spans="1:20" s="117" customFormat="1" ht="31.5">
      <c r="A79" s="111" t="s">
        <v>113</v>
      </c>
      <c r="B79" s="122" t="s">
        <v>309</v>
      </c>
      <c r="C79" s="112" t="s">
        <v>32</v>
      </c>
      <c r="D79" s="112" t="s">
        <v>325</v>
      </c>
      <c r="E79" s="150"/>
      <c r="F79" s="123"/>
      <c r="G79" s="123"/>
      <c r="H79" s="115">
        <f>26880*1.0216</f>
        <v>27460.608</v>
      </c>
      <c r="I79" s="115"/>
      <c r="J79" s="115"/>
      <c r="K79" s="115"/>
      <c r="L79" s="115"/>
      <c r="M79" s="115"/>
      <c r="N79" s="115"/>
      <c r="O79" s="115"/>
      <c r="P79" s="115"/>
      <c r="Q79" s="115"/>
      <c r="R79" s="115"/>
      <c r="S79" s="144"/>
      <c r="T79" s="116" t="s">
        <v>341</v>
      </c>
    </row>
    <row r="80" spans="1:20" s="117" customFormat="1">
      <c r="A80" s="111" t="s">
        <v>113</v>
      </c>
      <c r="B80" s="124" t="s">
        <v>264</v>
      </c>
      <c r="C80" s="112" t="s">
        <v>32</v>
      </c>
      <c r="D80" s="124" t="s">
        <v>325</v>
      </c>
      <c r="E80" s="151"/>
      <c r="F80" s="113"/>
      <c r="G80" s="113"/>
      <c r="H80" s="115">
        <v>50875.68</v>
      </c>
      <c r="I80" s="115"/>
      <c r="J80" s="115"/>
      <c r="K80" s="115"/>
      <c r="L80" s="115"/>
      <c r="M80" s="115"/>
      <c r="N80" s="115"/>
      <c r="O80" s="115"/>
      <c r="P80" s="115"/>
      <c r="Q80" s="115"/>
      <c r="R80" s="115"/>
      <c r="S80" s="143"/>
      <c r="T80" s="116" t="s">
        <v>292</v>
      </c>
    </row>
    <row r="81" spans="1:20" s="117" customFormat="1">
      <c r="A81" s="111" t="s">
        <v>113</v>
      </c>
      <c r="B81" s="112" t="s">
        <v>393</v>
      </c>
      <c r="C81" s="112" t="s">
        <v>32</v>
      </c>
      <c r="D81" s="112" t="s">
        <v>306</v>
      </c>
      <c r="E81" s="112">
        <v>2</v>
      </c>
      <c r="F81" s="113"/>
      <c r="G81" s="113"/>
      <c r="H81" s="115"/>
      <c r="I81" s="115"/>
      <c r="J81" s="115"/>
      <c r="K81" s="115"/>
      <c r="L81" s="115">
        <f>735.55*E81</f>
        <v>1471.1</v>
      </c>
      <c r="M81" s="115"/>
      <c r="N81" s="115"/>
      <c r="O81" s="115"/>
      <c r="P81" s="115"/>
      <c r="Q81" s="115"/>
      <c r="R81" s="115"/>
      <c r="S81" s="144"/>
      <c r="T81" s="116"/>
    </row>
    <row r="82" spans="1:20" s="117" customFormat="1" ht="31.5">
      <c r="A82" s="111" t="s">
        <v>113</v>
      </c>
      <c r="B82" s="122" t="s">
        <v>320</v>
      </c>
      <c r="C82" s="112" t="s">
        <v>32</v>
      </c>
      <c r="D82" s="112" t="s">
        <v>362</v>
      </c>
      <c r="E82" s="150"/>
      <c r="F82" s="123"/>
      <c r="G82" s="123">
        <v>7</v>
      </c>
      <c r="H82" s="144"/>
      <c r="I82" s="115"/>
      <c r="J82" s="115">
        <f>299100*1.0216</f>
        <v>305560.56</v>
      </c>
      <c r="K82" s="115"/>
      <c r="L82" s="115"/>
      <c r="M82" s="115"/>
      <c r="N82" s="115"/>
      <c r="O82" s="115"/>
      <c r="P82" s="115"/>
      <c r="Q82" s="115"/>
      <c r="R82" s="115"/>
      <c r="S82" s="144"/>
      <c r="T82" s="116" t="s">
        <v>340</v>
      </c>
    </row>
    <row r="83" spans="1:20" s="117" customFormat="1">
      <c r="A83" s="111" t="s">
        <v>115</v>
      </c>
      <c r="B83" s="112" t="s">
        <v>384</v>
      </c>
      <c r="C83" s="112" t="s">
        <v>32</v>
      </c>
      <c r="D83" s="112" t="s">
        <v>391</v>
      </c>
      <c r="E83" s="112"/>
      <c r="F83" s="113"/>
      <c r="G83" s="113"/>
      <c r="H83" s="115"/>
      <c r="I83" s="115"/>
      <c r="J83" s="115"/>
      <c r="K83" s="115"/>
      <c r="L83" s="115"/>
      <c r="M83" s="115">
        <f>3840*1.0216</f>
        <v>3922.9440000000004</v>
      </c>
      <c r="N83" s="115"/>
      <c r="O83" s="115"/>
      <c r="P83" s="115"/>
      <c r="Q83" s="115"/>
      <c r="R83" s="115"/>
      <c r="S83" s="144"/>
      <c r="T83" s="116"/>
    </row>
    <row r="84" spans="1:20" s="117" customFormat="1">
      <c r="A84" s="111" t="s">
        <v>115</v>
      </c>
      <c r="B84" s="112" t="s">
        <v>393</v>
      </c>
      <c r="C84" s="112" t="s">
        <v>32</v>
      </c>
      <c r="D84" s="112" t="s">
        <v>306</v>
      </c>
      <c r="E84" s="112">
        <v>3</v>
      </c>
      <c r="F84" s="113"/>
      <c r="G84" s="113"/>
      <c r="H84" s="115"/>
      <c r="I84" s="115"/>
      <c r="J84" s="115"/>
      <c r="K84" s="115"/>
      <c r="L84" s="115">
        <f>735.55*E84</f>
        <v>2206.6499999999996</v>
      </c>
      <c r="M84" s="115"/>
      <c r="N84" s="115"/>
      <c r="O84" s="115"/>
      <c r="P84" s="115"/>
      <c r="Q84" s="115"/>
      <c r="R84" s="115"/>
      <c r="S84" s="144"/>
      <c r="T84" s="116"/>
    </row>
    <row r="85" spans="1:20" s="117" customFormat="1">
      <c r="A85" s="111" t="s">
        <v>115</v>
      </c>
      <c r="B85" s="112" t="s">
        <v>384</v>
      </c>
      <c r="C85" s="112" t="s">
        <v>32</v>
      </c>
      <c r="D85" s="112" t="s">
        <v>391</v>
      </c>
      <c r="E85" s="112"/>
      <c r="F85" s="113"/>
      <c r="G85" s="113"/>
      <c r="H85" s="115"/>
      <c r="I85" s="115"/>
      <c r="J85" s="115"/>
      <c r="K85" s="115"/>
      <c r="L85" s="115"/>
      <c r="M85" s="115">
        <f>17200*1.0216</f>
        <v>17571.52</v>
      </c>
      <c r="N85" s="115"/>
      <c r="O85" s="115"/>
      <c r="P85" s="115"/>
      <c r="Q85" s="115"/>
      <c r="R85" s="115"/>
      <c r="S85" s="144"/>
      <c r="T85" s="116"/>
    </row>
    <row r="86" spans="1:20" s="117" customFormat="1" ht="31.5">
      <c r="A86" s="111" t="s">
        <v>117</v>
      </c>
      <c r="B86" s="112" t="s">
        <v>393</v>
      </c>
      <c r="C86" s="112" t="s">
        <v>32</v>
      </c>
      <c r="D86" s="112" t="s">
        <v>306</v>
      </c>
      <c r="E86" s="112">
        <v>3</v>
      </c>
      <c r="F86" s="113"/>
      <c r="G86" s="113"/>
      <c r="H86" s="115"/>
      <c r="I86" s="115"/>
      <c r="J86" s="115"/>
      <c r="K86" s="115"/>
      <c r="L86" s="115">
        <f>735.55*E86</f>
        <v>2206.6499999999996</v>
      </c>
      <c r="M86" s="115"/>
      <c r="N86" s="115"/>
      <c r="O86" s="115"/>
      <c r="P86" s="115"/>
      <c r="Q86" s="115"/>
      <c r="R86" s="115"/>
      <c r="S86" s="144"/>
      <c r="T86" s="116"/>
    </row>
    <row r="87" spans="1:20" s="117" customFormat="1" ht="31.5">
      <c r="A87" s="111" t="s">
        <v>117</v>
      </c>
      <c r="B87" s="112" t="s">
        <v>384</v>
      </c>
      <c r="C87" s="112" t="s">
        <v>32</v>
      </c>
      <c r="D87" s="112" t="s">
        <v>391</v>
      </c>
      <c r="E87" s="112"/>
      <c r="F87" s="113"/>
      <c r="G87" s="113"/>
      <c r="H87" s="115"/>
      <c r="I87" s="115"/>
      <c r="J87" s="115"/>
      <c r="K87" s="115"/>
      <c r="L87" s="115"/>
      <c r="M87" s="115">
        <f>6960*1.0216</f>
        <v>7110.3360000000002</v>
      </c>
      <c r="N87" s="115"/>
      <c r="O87" s="115"/>
      <c r="P87" s="115"/>
      <c r="Q87" s="115"/>
      <c r="R87" s="115"/>
      <c r="S87" s="144"/>
      <c r="T87" s="116"/>
    </row>
    <row r="88" spans="1:20" s="117" customFormat="1" ht="31.5">
      <c r="A88" s="111" t="s">
        <v>117</v>
      </c>
      <c r="B88" s="112" t="s">
        <v>383</v>
      </c>
      <c r="C88" s="112" t="s">
        <v>32</v>
      </c>
      <c r="D88" s="112" t="s">
        <v>391</v>
      </c>
      <c r="E88" s="112"/>
      <c r="F88" s="113"/>
      <c r="G88" s="113"/>
      <c r="H88" s="115"/>
      <c r="I88" s="115"/>
      <c r="J88" s="115"/>
      <c r="K88" s="115"/>
      <c r="L88" s="115">
        <f>734.5/1.13*1.0216</f>
        <v>664.04000000000019</v>
      </c>
      <c r="M88" s="115"/>
      <c r="N88" s="115"/>
      <c r="O88" s="115"/>
      <c r="P88" s="115"/>
      <c r="Q88" s="115"/>
      <c r="R88" s="115"/>
      <c r="S88" s="144"/>
      <c r="T88" s="116"/>
    </row>
    <row r="89" spans="1:20" s="117" customFormat="1">
      <c r="A89" s="111" t="s">
        <v>119</v>
      </c>
      <c r="B89" s="112" t="s">
        <v>393</v>
      </c>
      <c r="C89" s="112" t="s">
        <v>32</v>
      </c>
      <c r="D89" s="112" t="s">
        <v>306</v>
      </c>
      <c r="E89" s="112">
        <v>3</v>
      </c>
      <c r="F89" s="113"/>
      <c r="G89" s="113"/>
      <c r="H89" s="115"/>
      <c r="I89" s="115"/>
      <c r="J89" s="115"/>
      <c r="K89" s="115"/>
      <c r="L89" s="115">
        <f>735.55*E89</f>
        <v>2206.6499999999996</v>
      </c>
      <c r="M89" s="115"/>
      <c r="N89" s="115"/>
      <c r="O89" s="115"/>
      <c r="P89" s="115"/>
      <c r="Q89" s="115"/>
      <c r="R89" s="115"/>
      <c r="S89" s="144"/>
      <c r="T89" s="116"/>
    </row>
    <row r="90" spans="1:20" s="117" customFormat="1">
      <c r="A90" s="111" t="s">
        <v>119</v>
      </c>
      <c r="B90" s="112" t="s">
        <v>384</v>
      </c>
      <c r="C90" s="112" t="s">
        <v>32</v>
      </c>
      <c r="D90" s="112" t="s">
        <v>391</v>
      </c>
      <c r="E90" s="112"/>
      <c r="F90" s="113"/>
      <c r="G90" s="113"/>
      <c r="H90" s="115"/>
      <c r="I90" s="115"/>
      <c r="J90" s="115"/>
      <c r="K90" s="115"/>
      <c r="L90" s="115"/>
      <c r="M90" s="115">
        <f>7228.16*1.0216</f>
        <v>7384.2882560000007</v>
      </c>
      <c r="N90" s="115"/>
      <c r="O90" s="115"/>
      <c r="P90" s="115"/>
      <c r="Q90" s="115"/>
      <c r="R90" s="115"/>
      <c r="S90" s="144"/>
      <c r="T90" s="116"/>
    </row>
    <row r="91" spans="1:20" s="117" customFormat="1">
      <c r="A91" s="111" t="s">
        <v>119</v>
      </c>
      <c r="B91" s="112" t="s">
        <v>383</v>
      </c>
      <c r="C91" s="112" t="s">
        <v>32</v>
      </c>
      <c r="D91" s="112" t="s">
        <v>391</v>
      </c>
      <c r="E91" s="112"/>
      <c r="F91" s="113"/>
      <c r="G91" s="113"/>
      <c r="H91" s="115"/>
      <c r="I91" s="115"/>
      <c r="J91" s="115"/>
      <c r="K91" s="115"/>
      <c r="L91" s="115">
        <f>757.1/1.13*1.0216</f>
        <v>684.47200000000021</v>
      </c>
      <c r="M91" s="115"/>
      <c r="N91" s="115"/>
      <c r="O91" s="115"/>
      <c r="P91" s="115"/>
      <c r="Q91" s="115"/>
      <c r="R91" s="115"/>
      <c r="S91" s="144"/>
      <c r="T91" s="116"/>
    </row>
    <row r="92" spans="1:20" s="117" customFormat="1">
      <c r="A92" s="111" t="s">
        <v>119</v>
      </c>
      <c r="B92" s="112" t="s">
        <v>369</v>
      </c>
      <c r="C92" s="112" t="s">
        <v>33</v>
      </c>
      <c r="D92" s="112" t="s">
        <v>325</v>
      </c>
      <c r="E92" s="112"/>
      <c r="F92" s="113"/>
      <c r="G92" s="113"/>
      <c r="H92" s="115"/>
      <c r="I92" s="115"/>
      <c r="J92" s="115"/>
      <c r="K92" s="115"/>
      <c r="L92" s="115"/>
      <c r="M92" s="115"/>
      <c r="N92" s="115"/>
      <c r="O92" s="115"/>
      <c r="P92" s="115"/>
      <c r="Q92" s="115"/>
      <c r="R92" s="115"/>
      <c r="S92" s="115">
        <v>100000</v>
      </c>
      <c r="T92" s="116"/>
    </row>
    <row r="93" spans="1:20" s="117" customFormat="1">
      <c r="A93" s="111" t="s">
        <v>119</v>
      </c>
      <c r="B93" s="112" t="s">
        <v>383</v>
      </c>
      <c r="C93" s="112" t="s">
        <v>32</v>
      </c>
      <c r="D93" s="112" t="s">
        <v>391</v>
      </c>
      <c r="E93" s="112"/>
      <c r="F93" s="113"/>
      <c r="G93" s="113"/>
      <c r="H93" s="115"/>
      <c r="I93" s="115"/>
      <c r="J93" s="115"/>
      <c r="K93" s="115"/>
      <c r="L93" s="115">
        <f>757.1/1.13*1.0216</f>
        <v>684.47200000000021</v>
      </c>
      <c r="M93" s="115"/>
      <c r="N93" s="115"/>
      <c r="O93" s="115"/>
      <c r="P93" s="115"/>
      <c r="Q93" s="115"/>
      <c r="R93" s="115"/>
      <c r="S93" s="144"/>
      <c r="T93" s="116"/>
    </row>
    <row r="94" spans="1:20" s="117" customFormat="1">
      <c r="A94" s="111" t="s">
        <v>256</v>
      </c>
      <c r="B94" s="112" t="s">
        <v>393</v>
      </c>
      <c r="C94" s="112" t="s">
        <v>32</v>
      </c>
      <c r="D94" s="112" t="s">
        <v>306</v>
      </c>
      <c r="E94" s="112">
        <v>5</v>
      </c>
      <c r="F94" s="113"/>
      <c r="G94" s="113"/>
      <c r="H94" s="115"/>
      <c r="I94" s="115"/>
      <c r="J94" s="115"/>
      <c r="K94" s="115"/>
      <c r="L94" s="115">
        <f>735.55*E94</f>
        <v>3677.75</v>
      </c>
      <c r="M94" s="115"/>
      <c r="N94" s="115"/>
      <c r="O94" s="115"/>
      <c r="P94" s="115"/>
      <c r="Q94" s="115"/>
      <c r="R94" s="115"/>
      <c r="S94" s="144"/>
      <c r="T94" s="116"/>
    </row>
    <row r="95" spans="1:20" s="117" customFormat="1" ht="31.5">
      <c r="A95" s="111" t="s">
        <v>296</v>
      </c>
      <c r="B95" s="112" t="s">
        <v>301</v>
      </c>
      <c r="C95" s="112" t="s">
        <v>32</v>
      </c>
      <c r="D95" s="112" t="s">
        <v>325</v>
      </c>
      <c r="E95" s="148"/>
      <c r="F95" s="113"/>
      <c r="G95" s="113"/>
      <c r="H95" s="115"/>
      <c r="I95" s="115">
        <v>33058.949999999997</v>
      </c>
      <c r="J95" s="115"/>
      <c r="K95" s="115"/>
      <c r="L95" s="115"/>
      <c r="M95" s="115"/>
      <c r="N95" s="115"/>
      <c r="O95" s="115"/>
      <c r="P95" s="115"/>
      <c r="Q95" s="115"/>
      <c r="R95" s="115"/>
      <c r="S95" s="143"/>
      <c r="T95" s="116" t="s">
        <v>302</v>
      </c>
    </row>
    <row r="96" spans="1:20" s="117" customFormat="1" ht="31.5">
      <c r="A96" s="111" t="s">
        <v>296</v>
      </c>
      <c r="B96" s="126" t="s">
        <v>314</v>
      </c>
      <c r="C96" s="112" t="s">
        <v>32</v>
      </c>
      <c r="D96" s="112" t="s">
        <v>325</v>
      </c>
      <c r="E96" s="152"/>
      <c r="F96" s="127"/>
      <c r="G96" s="127"/>
      <c r="H96" s="125">
        <f>60530*1.0216</f>
        <v>61837.448000000004</v>
      </c>
      <c r="I96" s="115"/>
      <c r="J96" s="115"/>
      <c r="K96" s="115"/>
      <c r="L96" s="115"/>
      <c r="M96" s="115"/>
      <c r="N96" s="115"/>
      <c r="O96" s="115"/>
      <c r="P96" s="115"/>
      <c r="Q96" s="115"/>
      <c r="R96" s="115"/>
      <c r="S96" s="144"/>
      <c r="T96" s="116" t="s">
        <v>343</v>
      </c>
    </row>
    <row r="97" spans="1:20" s="117" customFormat="1" ht="31.5">
      <c r="A97" s="111" t="s">
        <v>296</v>
      </c>
      <c r="B97" s="112" t="s">
        <v>297</v>
      </c>
      <c r="C97" s="112" t="s">
        <v>32</v>
      </c>
      <c r="D97" s="112" t="s">
        <v>362</v>
      </c>
      <c r="E97" s="148"/>
      <c r="F97" s="113">
        <v>4</v>
      </c>
      <c r="G97" s="113"/>
      <c r="H97" s="115"/>
      <c r="I97" s="115">
        <v>369747.69</v>
      </c>
      <c r="J97" s="115"/>
      <c r="K97" s="115"/>
      <c r="L97" s="115"/>
      <c r="M97" s="115"/>
      <c r="N97" s="115"/>
      <c r="O97" s="115"/>
      <c r="P97" s="115"/>
      <c r="Q97" s="115"/>
      <c r="R97" s="115"/>
      <c r="S97" s="143"/>
      <c r="T97" s="116" t="s">
        <v>298</v>
      </c>
    </row>
    <row r="98" spans="1:20" s="117" customFormat="1" ht="31.5">
      <c r="A98" s="165" t="s">
        <v>296</v>
      </c>
      <c r="B98" s="112" t="s">
        <v>299</v>
      </c>
      <c r="C98" s="112" t="s">
        <v>32</v>
      </c>
      <c r="D98" s="112" t="s">
        <v>362</v>
      </c>
      <c r="E98" s="148"/>
      <c r="F98" s="113"/>
      <c r="G98" s="113"/>
      <c r="H98" s="125"/>
      <c r="I98" s="115">
        <f>51120*1.0216</f>
        <v>52224.192000000003</v>
      </c>
      <c r="J98" s="115"/>
      <c r="K98" s="115"/>
      <c r="L98" s="115"/>
      <c r="M98" s="115"/>
      <c r="N98" s="115"/>
      <c r="O98" s="115"/>
      <c r="P98" s="115"/>
      <c r="Q98" s="115"/>
      <c r="R98" s="115"/>
      <c r="S98" s="143"/>
      <c r="T98" s="116" t="s">
        <v>300</v>
      </c>
    </row>
    <row r="99" spans="1:20" s="117" customFormat="1" ht="31.5">
      <c r="A99" s="111" t="s">
        <v>296</v>
      </c>
      <c r="B99" s="126" t="s">
        <v>321</v>
      </c>
      <c r="C99" s="112" t="s">
        <v>32</v>
      </c>
      <c r="D99" s="112" t="s">
        <v>362</v>
      </c>
      <c r="E99" s="152"/>
      <c r="F99" s="127"/>
      <c r="G99" s="127">
        <v>6</v>
      </c>
      <c r="H99" s="144"/>
      <c r="I99" s="115"/>
      <c r="J99" s="115">
        <f>333350*1.0216</f>
        <v>340550.36000000004</v>
      </c>
      <c r="K99" s="115"/>
      <c r="L99" s="115"/>
      <c r="M99" s="115"/>
      <c r="N99" s="115"/>
      <c r="O99" s="115"/>
      <c r="P99" s="115"/>
      <c r="Q99" s="115"/>
      <c r="R99" s="115"/>
      <c r="S99" s="144"/>
      <c r="T99" s="116" t="s">
        <v>342</v>
      </c>
    </row>
    <row r="100" spans="1:20" s="117" customFormat="1">
      <c r="A100" s="111" t="s">
        <v>121</v>
      </c>
      <c r="B100" s="112" t="s">
        <v>389</v>
      </c>
      <c r="C100" s="112" t="s">
        <v>32</v>
      </c>
      <c r="D100" s="112" t="s">
        <v>362</v>
      </c>
      <c r="E100" s="112"/>
      <c r="F100" s="113"/>
      <c r="G100" s="113"/>
      <c r="H100" s="115"/>
      <c r="I100" s="115"/>
      <c r="J100" s="115"/>
      <c r="K100" s="115"/>
      <c r="L100" s="115">
        <f>7689.65/1.13*1.0216</f>
        <v>6951.9880000000003</v>
      </c>
      <c r="M100" s="115"/>
      <c r="N100" s="115"/>
      <c r="O100" s="115"/>
      <c r="P100" s="115"/>
      <c r="Q100" s="115"/>
      <c r="R100" s="115"/>
      <c r="S100" s="144"/>
      <c r="T100" s="116"/>
    </row>
    <row r="101" spans="1:20" s="117" customFormat="1">
      <c r="A101" s="111" t="s">
        <v>121</v>
      </c>
      <c r="B101" s="112" t="s">
        <v>306</v>
      </c>
      <c r="C101" s="112" t="s">
        <v>32</v>
      </c>
      <c r="D101" s="112" t="s">
        <v>306</v>
      </c>
      <c r="E101" s="112">
        <v>4</v>
      </c>
      <c r="F101" s="113"/>
      <c r="G101" s="113"/>
      <c r="H101" s="115"/>
      <c r="I101" s="115"/>
      <c r="J101" s="115"/>
      <c r="K101" s="115"/>
      <c r="L101" s="115"/>
      <c r="M101" s="115"/>
      <c r="N101" s="115"/>
      <c r="O101" s="115"/>
      <c r="P101" s="115">
        <f>994*E101</f>
        <v>3976</v>
      </c>
      <c r="Q101" s="115"/>
      <c r="R101" s="115"/>
      <c r="S101" s="144"/>
      <c r="T101" s="116"/>
    </row>
    <row r="102" spans="1:20" s="117" customFormat="1">
      <c r="A102" s="111" t="s">
        <v>123</v>
      </c>
      <c r="B102" s="112" t="s">
        <v>384</v>
      </c>
      <c r="C102" s="112" t="s">
        <v>32</v>
      </c>
      <c r="D102" s="112" t="s">
        <v>391</v>
      </c>
      <c r="E102" s="112"/>
      <c r="F102" s="113"/>
      <c r="G102" s="113"/>
      <c r="H102" s="115"/>
      <c r="I102" s="115"/>
      <c r="J102" s="115"/>
      <c r="K102" s="115"/>
      <c r="L102" s="115"/>
      <c r="M102" s="115">
        <f>2440*1.0216</f>
        <v>2492.7040000000002</v>
      </c>
      <c r="N102" s="115"/>
      <c r="O102" s="115"/>
      <c r="P102" s="115"/>
      <c r="Q102" s="115"/>
      <c r="R102" s="115"/>
      <c r="S102" s="144"/>
      <c r="T102" s="116"/>
    </row>
    <row r="103" spans="1:20" s="117" customFormat="1">
      <c r="A103" s="111" t="s">
        <v>123</v>
      </c>
      <c r="B103" s="112" t="s">
        <v>384</v>
      </c>
      <c r="C103" s="112" t="s">
        <v>32</v>
      </c>
      <c r="D103" s="112" t="s">
        <v>391</v>
      </c>
      <c r="E103" s="112"/>
      <c r="F103" s="113"/>
      <c r="G103" s="113"/>
      <c r="H103" s="115"/>
      <c r="I103" s="115"/>
      <c r="J103" s="115"/>
      <c r="K103" s="115"/>
      <c r="L103" s="115"/>
      <c r="M103" s="115">
        <f>900*1.0216</f>
        <v>919.44</v>
      </c>
      <c r="N103" s="115"/>
      <c r="O103" s="115"/>
      <c r="P103" s="115"/>
      <c r="Q103" s="115"/>
      <c r="R103" s="115"/>
      <c r="S103" s="144"/>
      <c r="T103" s="116"/>
    </row>
    <row r="104" spans="1:20" s="117" customFormat="1">
      <c r="A104" s="111" t="s">
        <v>125</v>
      </c>
      <c r="B104" s="112" t="s">
        <v>318</v>
      </c>
      <c r="C104" s="112" t="s">
        <v>32</v>
      </c>
      <c r="D104" s="112" t="s">
        <v>325</v>
      </c>
      <c r="E104" s="148"/>
      <c r="F104" s="113"/>
      <c r="G104" s="113"/>
      <c r="H104" s="115"/>
      <c r="I104" s="115"/>
      <c r="J104" s="115"/>
      <c r="K104" s="115"/>
      <c r="L104" s="115"/>
      <c r="M104" s="115">
        <v>1417.16</v>
      </c>
      <c r="N104" s="115"/>
      <c r="O104" s="115"/>
      <c r="P104" s="115"/>
      <c r="Q104" s="115"/>
      <c r="R104" s="115"/>
      <c r="S104" s="144"/>
      <c r="T104" s="116"/>
    </row>
    <row r="105" spans="1:20" s="117" customFormat="1">
      <c r="A105" s="111" t="s">
        <v>125</v>
      </c>
      <c r="B105" s="112" t="s">
        <v>306</v>
      </c>
      <c r="C105" s="112" t="s">
        <v>32</v>
      </c>
      <c r="D105" s="112" t="s">
        <v>306</v>
      </c>
      <c r="E105" s="112">
        <v>3</v>
      </c>
      <c r="F105" s="113"/>
      <c r="G105" s="113"/>
      <c r="H105" s="115"/>
      <c r="I105" s="115"/>
      <c r="J105" s="115"/>
      <c r="K105" s="115"/>
      <c r="L105" s="115"/>
      <c r="M105" s="115"/>
      <c r="N105" s="115"/>
      <c r="O105" s="115"/>
      <c r="P105" s="115">
        <f>994*E105</f>
        <v>2982</v>
      </c>
      <c r="Q105" s="115"/>
      <c r="R105" s="115"/>
      <c r="S105" s="144"/>
      <c r="T105" s="116"/>
    </row>
    <row r="106" spans="1:20" s="117" customFormat="1">
      <c r="A106" s="111" t="s">
        <v>125</v>
      </c>
      <c r="B106" s="112" t="s">
        <v>384</v>
      </c>
      <c r="C106" s="112" t="s">
        <v>32</v>
      </c>
      <c r="D106" s="112" t="s">
        <v>391</v>
      </c>
      <c r="E106" s="112"/>
      <c r="F106" s="113"/>
      <c r="G106" s="113"/>
      <c r="H106" s="115"/>
      <c r="I106" s="115"/>
      <c r="J106" s="115"/>
      <c r="K106" s="115"/>
      <c r="L106" s="115"/>
      <c r="M106" s="115">
        <f>5360*1.0216</f>
        <v>5475.7760000000007</v>
      </c>
      <c r="N106" s="115"/>
      <c r="O106" s="115"/>
      <c r="P106" s="115"/>
      <c r="Q106" s="115"/>
      <c r="R106" s="115"/>
      <c r="S106" s="144"/>
      <c r="T106" s="116"/>
    </row>
    <row r="107" spans="1:20" s="117" customFormat="1">
      <c r="A107" s="111" t="s">
        <v>125</v>
      </c>
      <c r="B107" s="124" t="s">
        <v>264</v>
      </c>
      <c r="C107" s="112" t="s">
        <v>32</v>
      </c>
      <c r="D107" s="124" t="s">
        <v>325</v>
      </c>
      <c r="E107" s="151"/>
      <c r="F107" s="113"/>
      <c r="G107" s="113"/>
      <c r="H107" s="115">
        <v>42702.879999999997</v>
      </c>
      <c r="I107" s="115"/>
      <c r="J107" s="115"/>
      <c r="K107" s="115"/>
      <c r="L107" s="115"/>
      <c r="M107" s="115"/>
      <c r="N107" s="115"/>
      <c r="O107" s="115"/>
      <c r="P107" s="115"/>
      <c r="Q107" s="115"/>
      <c r="R107" s="115"/>
      <c r="S107" s="143"/>
      <c r="T107" s="116" t="s">
        <v>265</v>
      </c>
    </row>
    <row r="108" spans="1:20" s="117" customFormat="1" ht="31.5">
      <c r="A108" s="111" t="s">
        <v>127</v>
      </c>
      <c r="B108" s="112" t="s">
        <v>393</v>
      </c>
      <c r="C108" s="112" t="s">
        <v>32</v>
      </c>
      <c r="D108" s="112" t="s">
        <v>306</v>
      </c>
      <c r="E108" s="112">
        <v>2</v>
      </c>
      <c r="F108" s="113"/>
      <c r="G108" s="113"/>
      <c r="H108" s="115"/>
      <c r="I108" s="115"/>
      <c r="J108" s="115"/>
      <c r="K108" s="115"/>
      <c r="L108" s="115">
        <f>735.55*E108</f>
        <v>1471.1</v>
      </c>
      <c r="M108" s="115"/>
      <c r="N108" s="115"/>
      <c r="O108" s="115"/>
      <c r="P108" s="115"/>
      <c r="Q108" s="115"/>
      <c r="R108" s="115"/>
      <c r="S108" s="144"/>
      <c r="T108" s="116"/>
    </row>
    <row r="109" spans="1:20" s="117" customFormat="1" ht="31.5">
      <c r="A109" s="111" t="s">
        <v>127</v>
      </c>
      <c r="B109" s="112" t="s">
        <v>379</v>
      </c>
      <c r="C109" s="112" t="s">
        <v>32</v>
      </c>
      <c r="D109" s="112" t="s">
        <v>362</v>
      </c>
      <c r="E109" s="112"/>
      <c r="F109" s="113"/>
      <c r="G109" s="113"/>
      <c r="H109" s="115"/>
      <c r="I109" s="115"/>
      <c r="J109" s="115"/>
      <c r="K109" s="115"/>
      <c r="L109" s="115">
        <f>1318.74/1.13*1.0216</f>
        <v>1192.2343221238939</v>
      </c>
      <c r="M109" s="115"/>
      <c r="N109" s="115"/>
      <c r="O109" s="115"/>
      <c r="P109" s="115"/>
      <c r="Q109" s="115"/>
      <c r="R109" s="115"/>
      <c r="S109" s="144"/>
      <c r="T109" s="116"/>
    </row>
    <row r="110" spans="1:20" s="117" customFormat="1" ht="31.5">
      <c r="A110" s="111" t="s">
        <v>127</v>
      </c>
      <c r="B110" s="112" t="s">
        <v>384</v>
      </c>
      <c r="C110" s="112" t="s">
        <v>32</v>
      </c>
      <c r="D110" s="112" t="s">
        <v>391</v>
      </c>
      <c r="E110" s="112"/>
      <c r="F110" s="113"/>
      <c r="G110" s="113"/>
      <c r="H110" s="115"/>
      <c r="I110" s="115"/>
      <c r="J110" s="115"/>
      <c r="K110" s="115"/>
      <c r="L110" s="115"/>
      <c r="M110" s="115">
        <f>4000*1.0216</f>
        <v>4086.4</v>
      </c>
      <c r="N110" s="115"/>
      <c r="O110" s="115"/>
      <c r="P110" s="115"/>
      <c r="Q110" s="115"/>
      <c r="R110" s="115"/>
      <c r="S110" s="144"/>
      <c r="T110" s="116"/>
    </row>
    <row r="111" spans="1:20" s="117" customFormat="1" ht="31.5">
      <c r="A111" s="111" t="s">
        <v>127</v>
      </c>
      <c r="B111" s="112" t="s">
        <v>270</v>
      </c>
      <c r="C111" s="112" t="s">
        <v>32</v>
      </c>
      <c r="D111" s="112" t="s">
        <v>362</v>
      </c>
      <c r="E111" s="148"/>
      <c r="F111" s="113"/>
      <c r="G111" s="113"/>
      <c r="H111" s="115"/>
      <c r="I111" s="115">
        <v>45277.31</v>
      </c>
      <c r="J111" s="115"/>
      <c r="K111" s="115"/>
      <c r="L111" s="115"/>
      <c r="M111" s="115"/>
      <c r="N111" s="115"/>
      <c r="O111" s="115"/>
      <c r="P111" s="115"/>
      <c r="Q111" s="115"/>
      <c r="R111" s="115"/>
      <c r="S111" s="163"/>
      <c r="T111" s="116" t="s">
        <v>271</v>
      </c>
    </row>
    <row r="112" spans="1:20" s="117" customFormat="1" ht="63">
      <c r="A112" s="111" t="s">
        <v>127</v>
      </c>
      <c r="B112" s="126" t="s">
        <v>272</v>
      </c>
      <c r="C112" s="112" t="s">
        <v>32</v>
      </c>
      <c r="D112" s="112" t="s">
        <v>362</v>
      </c>
      <c r="E112" s="152"/>
      <c r="F112" s="127">
        <v>2</v>
      </c>
      <c r="G112" s="127"/>
      <c r="H112" s="115"/>
      <c r="I112" s="115"/>
      <c r="J112" s="115">
        <v>357886.91</v>
      </c>
      <c r="K112" s="115"/>
      <c r="L112" s="115"/>
      <c r="M112" s="115"/>
      <c r="N112" s="115"/>
      <c r="O112" s="115"/>
      <c r="P112" s="115"/>
      <c r="Q112" s="115"/>
      <c r="R112" s="115"/>
      <c r="S112" s="120"/>
      <c r="T112" s="116" t="s">
        <v>273</v>
      </c>
    </row>
    <row r="113" spans="1:20" s="117" customFormat="1">
      <c r="A113" s="111" t="s">
        <v>131</v>
      </c>
      <c r="B113" s="112" t="s">
        <v>306</v>
      </c>
      <c r="C113" s="112" t="s">
        <v>32</v>
      </c>
      <c r="D113" s="112" t="s">
        <v>306</v>
      </c>
      <c r="E113" s="112">
        <v>2</v>
      </c>
      <c r="F113" s="113"/>
      <c r="G113" s="113"/>
      <c r="H113" s="115"/>
      <c r="I113" s="115"/>
      <c r="J113" s="115"/>
      <c r="K113" s="115"/>
      <c r="L113" s="115"/>
      <c r="M113" s="115"/>
      <c r="N113" s="115"/>
      <c r="O113" s="115"/>
      <c r="P113" s="115">
        <f>994*E113</f>
        <v>1988</v>
      </c>
      <c r="Q113" s="115"/>
      <c r="R113" s="115"/>
      <c r="T113" s="116"/>
    </row>
    <row r="114" spans="1:20" s="117" customFormat="1">
      <c r="A114" s="111" t="s">
        <v>400</v>
      </c>
      <c r="B114" s="112" t="s">
        <v>306</v>
      </c>
      <c r="C114" s="112" t="s">
        <v>32</v>
      </c>
      <c r="D114" s="112" t="s">
        <v>306</v>
      </c>
      <c r="E114" s="112">
        <v>2</v>
      </c>
      <c r="F114" s="113"/>
      <c r="G114" s="113"/>
      <c r="H114" s="115"/>
      <c r="I114" s="115"/>
      <c r="J114" s="115"/>
      <c r="K114" s="115"/>
      <c r="L114" s="115"/>
      <c r="M114" s="115"/>
      <c r="N114" s="115"/>
      <c r="O114" s="115"/>
      <c r="P114" s="115">
        <f>994*E114</f>
        <v>1988</v>
      </c>
      <c r="Q114" s="115"/>
      <c r="R114" s="115"/>
      <c r="T114" s="116"/>
    </row>
    <row r="115" spans="1:20" s="117" customFormat="1" ht="31.5">
      <c r="A115" s="111" t="s">
        <v>400</v>
      </c>
      <c r="B115" s="112" t="s">
        <v>286</v>
      </c>
      <c r="C115" s="112" t="s">
        <v>32</v>
      </c>
      <c r="D115" s="112" t="s">
        <v>362</v>
      </c>
      <c r="E115" s="148"/>
      <c r="F115" s="113"/>
      <c r="G115" s="113"/>
      <c r="H115" s="115"/>
      <c r="I115" s="115">
        <v>64360.800000000003</v>
      </c>
      <c r="J115" s="115"/>
      <c r="K115" s="115"/>
      <c r="L115" s="115"/>
      <c r="M115" s="115"/>
      <c r="N115" s="115"/>
      <c r="O115" s="115"/>
      <c r="P115" s="115"/>
      <c r="Q115" s="115"/>
      <c r="R115" s="115"/>
      <c r="T115" s="116" t="s">
        <v>287</v>
      </c>
    </row>
    <row r="116" spans="1:20" s="117" customFormat="1" ht="31.5">
      <c r="A116" s="111" t="s">
        <v>400</v>
      </c>
      <c r="B116" s="112" t="s">
        <v>288</v>
      </c>
      <c r="C116" s="112" t="s">
        <v>32</v>
      </c>
      <c r="D116" s="112" t="s">
        <v>362</v>
      </c>
      <c r="E116" s="148"/>
      <c r="F116" s="113">
        <v>5</v>
      </c>
      <c r="G116" s="113"/>
      <c r="H116" s="115"/>
      <c r="I116" s="115"/>
      <c r="J116" s="115">
        <v>938850.4</v>
      </c>
      <c r="K116" s="115"/>
      <c r="L116" s="115"/>
      <c r="M116" s="115"/>
      <c r="N116" s="115"/>
      <c r="O116" s="115"/>
      <c r="P116" s="115"/>
      <c r="Q116" s="115"/>
      <c r="R116" s="115"/>
      <c r="S116" s="129"/>
      <c r="T116" s="116" t="s">
        <v>289</v>
      </c>
    </row>
    <row r="117" spans="1:20" s="117" customFormat="1" ht="31.5">
      <c r="A117" s="111" t="s">
        <v>400</v>
      </c>
      <c r="B117" s="112" t="s">
        <v>290</v>
      </c>
      <c r="C117" s="112" t="s">
        <v>32</v>
      </c>
      <c r="D117" s="112" t="s">
        <v>362</v>
      </c>
      <c r="E117" s="148"/>
      <c r="F117" s="113"/>
      <c r="G117" s="113"/>
      <c r="H117" s="115">
        <v>11500</v>
      </c>
      <c r="I117" s="115"/>
      <c r="J117" s="115"/>
      <c r="K117" s="115"/>
      <c r="L117" s="115"/>
      <c r="M117" s="115"/>
      <c r="N117" s="115"/>
      <c r="O117" s="115"/>
      <c r="P117" s="115"/>
      <c r="Q117" s="115"/>
      <c r="R117" s="115"/>
      <c r="S117" s="129"/>
      <c r="T117" s="116" t="s">
        <v>291</v>
      </c>
    </row>
    <row r="118" spans="1:20" s="117" customFormat="1">
      <c r="A118" s="111" t="s">
        <v>400</v>
      </c>
      <c r="B118" s="112" t="s">
        <v>383</v>
      </c>
      <c r="C118" s="112" t="s">
        <v>32</v>
      </c>
      <c r="D118" s="112" t="s">
        <v>391</v>
      </c>
      <c r="E118" s="112"/>
      <c r="F118" s="113"/>
      <c r="G118" s="113"/>
      <c r="H118" s="115"/>
      <c r="I118" s="115"/>
      <c r="J118" s="115"/>
      <c r="K118" s="115"/>
      <c r="L118" s="115">
        <f>175.15/1.13*1.0216</f>
        <v>158.34800000000004</v>
      </c>
      <c r="M118" s="115"/>
      <c r="N118" s="115"/>
      <c r="O118" s="115"/>
      <c r="P118" s="115"/>
      <c r="Q118" s="115"/>
      <c r="R118" s="115"/>
      <c r="T118" s="116"/>
    </row>
    <row r="119" spans="1:20" s="117" customFormat="1">
      <c r="A119" s="111" t="s">
        <v>400</v>
      </c>
      <c r="B119" s="112" t="s">
        <v>318</v>
      </c>
      <c r="C119" s="112" t="s">
        <v>32</v>
      </c>
      <c r="D119" s="112" t="s">
        <v>325</v>
      </c>
      <c r="E119" s="148"/>
      <c r="F119" s="113"/>
      <c r="G119" s="113"/>
      <c r="H119" s="115"/>
      <c r="I119" s="115"/>
      <c r="J119" s="115"/>
      <c r="K119" s="115"/>
      <c r="L119" s="115"/>
      <c r="M119" s="115">
        <v>744.22</v>
      </c>
      <c r="N119" s="115"/>
      <c r="O119" s="115"/>
      <c r="P119" s="115"/>
      <c r="Q119" s="115"/>
      <c r="R119" s="115"/>
      <c r="T119" s="116"/>
    </row>
    <row r="120" spans="1:20" s="117" customFormat="1">
      <c r="A120" s="111" t="s">
        <v>400</v>
      </c>
      <c r="B120" s="112" t="s">
        <v>383</v>
      </c>
      <c r="C120" s="112" t="s">
        <v>32</v>
      </c>
      <c r="D120" s="112" t="s">
        <v>391</v>
      </c>
      <c r="E120" s="112"/>
      <c r="F120" s="113"/>
      <c r="G120" s="113"/>
      <c r="H120" s="115"/>
      <c r="I120" s="115"/>
      <c r="J120" s="115"/>
      <c r="K120" s="115"/>
      <c r="L120" s="115">
        <f>175.15/1.13*1.0216</f>
        <v>158.34800000000004</v>
      </c>
      <c r="M120" s="115"/>
      <c r="N120" s="115"/>
      <c r="O120" s="115"/>
      <c r="P120" s="115"/>
      <c r="Q120" s="115"/>
      <c r="R120" s="115"/>
      <c r="T120" s="116"/>
    </row>
    <row r="121" spans="1:20" s="117" customFormat="1" ht="31.5">
      <c r="A121" s="111" t="s">
        <v>133</v>
      </c>
      <c r="B121" s="112" t="s">
        <v>323</v>
      </c>
      <c r="C121" s="112" t="s">
        <v>32</v>
      </c>
      <c r="D121" s="112" t="s">
        <v>325</v>
      </c>
      <c r="E121" s="148"/>
      <c r="F121" s="113"/>
      <c r="G121" s="113"/>
      <c r="H121" s="115">
        <f>82720*1.0216</f>
        <v>84506.752000000008</v>
      </c>
      <c r="I121" s="115"/>
      <c r="J121" s="115"/>
      <c r="K121" s="115"/>
      <c r="L121" s="115"/>
      <c r="M121" s="115"/>
      <c r="N121" s="115"/>
      <c r="O121" s="115"/>
      <c r="P121" s="115"/>
      <c r="Q121" s="115"/>
      <c r="R121" s="115"/>
      <c r="S121" s="120"/>
      <c r="T121" s="116" t="s">
        <v>345</v>
      </c>
    </row>
    <row r="122" spans="1:20" s="117" customFormat="1">
      <c r="A122" s="111" t="s">
        <v>133</v>
      </c>
      <c r="B122" s="112" t="s">
        <v>393</v>
      </c>
      <c r="C122" s="112" t="s">
        <v>32</v>
      </c>
      <c r="D122" s="112" t="s">
        <v>306</v>
      </c>
      <c r="E122" s="112">
        <v>1</v>
      </c>
      <c r="F122" s="113"/>
      <c r="G122" s="113"/>
      <c r="H122" s="115"/>
      <c r="I122" s="115"/>
      <c r="J122" s="115"/>
      <c r="K122" s="115"/>
      <c r="L122" s="115">
        <f>735.55*E122</f>
        <v>735.55</v>
      </c>
      <c r="M122" s="115"/>
      <c r="N122" s="115"/>
      <c r="O122" s="115"/>
      <c r="P122" s="115"/>
      <c r="Q122" s="115"/>
      <c r="R122" s="115"/>
      <c r="T122" s="116"/>
    </row>
    <row r="123" spans="1:20" s="117" customFormat="1" ht="31.5">
      <c r="A123" s="111" t="s">
        <v>133</v>
      </c>
      <c r="B123" s="112" t="s">
        <v>322</v>
      </c>
      <c r="C123" s="112" t="s">
        <v>32</v>
      </c>
      <c r="D123" s="112" t="s">
        <v>362</v>
      </c>
      <c r="E123" s="148"/>
      <c r="F123" s="113"/>
      <c r="G123" s="113">
        <v>7</v>
      </c>
      <c r="H123" s="143"/>
      <c r="I123" s="115"/>
      <c r="J123" s="115">
        <f>228650*1.0216</f>
        <v>233588.84000000003</v>
      </c>
      <c r="K123" s="115"/>
      <c r="L123" s="115"/>
      <c r="M123" s="115"/>
      <c r="N123" s="115"/>
      <c r="O123" s="115"/>
      <c r="P123" s="115"/>
      <c r="Q123" s="115"/>
      <c r="R123" s="115"/>
      <c r="S123" s="120"/>
      <c r="T123" s="116" t="s">
        <v>344</v>
      </c>
    </row>
    <row r="124" spans="1:20" s="117" customFormat="1" ht="63">
      <c r="A124" s="111" t="s">
        <v>133</v>
      </c>
      <c r="B124" s="118" t="s">
        <v>293</v>
      </c>
      <c r="C124" s="112" t="s">
        <v>32</v>
      </c>
      <c r="D124" s="118" t="s">
        <v>362</v>
      </c>
      <c r="E124" s="149"/>
      <c r="F124" s="119"/>
      <c r="G124" s="119"/>
      <c r="H124" s="115"/>
      <c r="I124" s="174">
        <v>12442.06</v>
      </c>
      <c r="J124" s="115"/>
      <c r="K124" s="115"/>
      <c r="L124" s="115"/>
      <c r="M124" s="115"/>
      <c r="N124" s="115"/>
      <c r="O124" s="115"/>
      <c r="P124" s="115"/>
      <c r="Q124" s="115"/>
      <c r="R124" s="115"/>
      <c r="S124" s="128"/>
      <c r="T124" s="121" t="s">
        <v>294</v>
      </c>
    </row>
    <row r="125" spans="1:20" s="117" customFormat="1" ht="31.5">
      <c r="A125" s="111" t="s">
        <v>133</v>
      </c>
      <c r="B125" s="112" t="s">
        <v>379</v>
      </c>
      <c r="C125" s="112" t="s">
        <v>32</v>
      </c>
      <c r="D125" s="112" t="s">
        <v>362</v>
      </c>
      <c r="E125" s="112"/>
      <c r="F125" s="113"/>
      <c r="G125" s="113"/>
      <c r="H125" s="115"/>
      <c r="I125" s="115"/>
      <c r="J125" s="115"/>
      <c r="K125" s="115"/>
      <c r="L125" s="115">
        <f>3457.09/1.13*1.0216</f>
        <v>3125.4541097345141</v>
      </c>
      <c r="M125" s="115"/>
      <c r="N125" s="115"/>
      <c r="O125" s="115"/>
      <c r="P125" s="115"/>
      <c r="Q125" s="115"/>
      <c r="R125" s="115"/>
      <c r="T125" s="116"/>
    </row>
    <row r="126" spans="1:20" s="117" customFormat="1">
      <c r="A126" s="111" t="s">
        <v>133</v>
      </c>
      <c r="B126" s="112" t="s">
        <v>384</v>
      </c>
      <c r="C126" s="112" t="s">
        <v>32</v>
      </c>
      <c r="D126" s="112" t="s">
        <v>391</v>
      </c>
      <c r="E126" s="112"/>
      <c r="F126" s="113"/>
      <c r="G126" s="113"/>
      <c r="H126" s="115"/>
      <c r="I126" s="115"/>
      <c r="J126" s="115"/>
      <c r="K126" s="115"/>
      <c r="L126" s="115"/>
      <c r="M126" s="115">
        <f>12800*1.0216</f>
        <v>13076.480000000001</v>
      </c>
      <c r="N126" s="115"/>
      <c r="O126" s="115"/>
      <c r="P126" s="115"/>
      <c r="Q126" s="115"/>
      <c r="R126" s="115"/>
      <c r="T126" s="116"/>
    </row>
    <row r="127" spans="1:20" s="117" customFormat="1" ht="31.5">
      <c r="A127" s="111" t="s">
        <v>5</v>
      </c>
      <c r="B127" s="112" t="s">
        <v>284</v>
      </c>
      <c r="C127" s="112" t="s">
        <v>32</v>
      </c>
      <c r="D127" s="112" t="s">
        <v>362</v>
      </c>
      <c r="E127" s="148"/>
      <c r="F127" s="113"/>
      <c r="G127" s="113"/>
      <c r="H127" s="115"/>
      <c r="I127" s="115">
        <v>50702.01</v>
      </c>
      <c r="J127" s="115"/>
      <c r="K127" s="115"/>
      <c r="L127" s="115"/>
      <c r="M127" s="115"/>
      <c r="N127" s="115"/>
      <c r="O127" s="115"/>
      <c r="P127" s="115"/>
      <c r="Q127" s="115"/>
      <c r="R127" s="115"/>
      <c r="T127" s="116" t="s">
        <v>285</v>
      </c>
    </row>
    <row r="128" spans="1:20" s="117" customFormat="1">
      <c r="A128" s="111" t="s">
        <v>5</v>
      </c>
      <c r="B128" s="112" t="s">
        <v>371</v>
      </c>
      <c r="C128" s="112" t="s">
        <v>32</v>
      </c>
      <c r="D128" s="112" t="s">
        <v>362</v>
      </c>
      <c r="E128" s="112"/>
      <c r="F128" s="113"/>
      <c r="G128" s="113"/>
      <c r="H128" s="115"/>
      <c r="I128" s="115"/>
      <c r="J128" s="115"/>
      <c r="K128" s="115"/>
      <c r="L128" s="115"/>
      <c r="M128" s="115"/>
      <c r="N128" s="115"/>
      <c r="O128" s="115"/>
      <c r="P128" s="115"/>
      <c r="Q128" s="115"/>
      <c r="R128" s="115"/>
      <c r="S128" s="164">
        <v>300000</v>
      </c>
      <c r="T128" s="116"/>
    </row>
    <row r="129" spans="1:20" s="117" customFormat="1">
      <c r="A129" s="111" t="s">
        <v>5</v>
      </c>
      <c r="B129" s="112" t="s">
        <v>306</v>
      </c>
      <c r="C129" s="112" t="s">
        <v>32</v>
      </c>
      <c r="D129" s="112" t="s">
        <v>306</v>
      </c>
      <c r="E129" s="112">
        <v>12</v>
      </c>
      <c r="F129" s="113"/>
      <c r="G129" s="113"/>
      <c r="H129" s="115"/>
      <c r="I129" s="115"/>
      <c r="J129" s="115"/>
      <c r="K129" s="115"/>
      <c r="L129" s="115"/>
      <c r="M129" s="115"/>
      <c r="N129" s="115"/>
      <c r="O129" s="115"/>
      <c r="P129" s="115">
        <f>994*E129</f>
        <v>11928</v>
      </c>
      <c r="Q129" s="115"/>
      <c r="R129" s="115"/>
      <c r="T129" s="116"/>
    </row>
    <row r="130" spans="1:20" s="117" customFormat="1" ht="31.5">
      <c r="A130" s="111" t="s">
        <v>5</v>
      </c>
      <c r="B130" s="112" t="s">
        <v>379</v>
      </c>
      <c r="C130" s="112" t="s">
        <v>32</v>
      </c>
      <c r="D130" s="112" t="s">
        <v>362</v>
      </c>
      <c r="E130" s="112"/>
      <c r="F130" s="113"/>
      <c r="G130" s="113"/>
      <c r="H130" s="115"/>
      <c r="I130" s="115"/>
      <c r="J130" s="115"/>
      <c r="K130" s="115"/>
      <c r="L130" s="115">
        <f>587.83/1.13*1.0216</f>
        <v>531.43993628318594</v>
      </c>
      <c r="M130" s="115"/>
      <c r="N130" s="115"/>
      <c r="O130" s="115"/>
      <c r="P130" s="115"/>
      <c r="Q130" s="115"/>
      <c r="R130" s="115"/>
      <c r="T130" s="116"/>
    </row>
    <row r="131" spans="1:20" s="117" customFormat="1" ht="31.5">
      <c r="A131" s="111" t="s">
        <v>136</v>
      </c>
      <c r="B131" s="112" t="s">
        <v>309</v>
      </c>
      <c r="C131" s="112" t="s">
        <v>32</v>
      </c>
      <c r="D131" s="112" t="s">
        <v>325</v>
      </c>
      <c r="E131" s="148"/>
      <c r="F131" s="113"/>
      <c r="G131" s="113"/>
      <c r="H131" s="115">
        <f>73766.33*1.0216</f>
        <v>75359.682728</v>
      </c>
      <c r="I131" s="115"/>
      <c r="J131" s="115"/>
      <c r="K131" s="115"/>
      <c r="L131" s="115"/>
      <c r="M131" s="115"/>
      <c r="N131" s="115"/>
      <c r="O131" s="115"/>
      <c r="P131" s="115"/>
      <c r="Q131" s="115"/>
      <c r="R131" s="115"/>
      <c r="T131" s="116" t="s">
        <v>347</v>
      </c>
    </row>
    <row r="132" spans="1:20" s="117" customFormat="1" ht="63">
      <c r="A132" s="111" t="s">
        <v>136</v>
      </c>
      <c r="B132" s="112" t="s">
        <v>324</v>
      </c>
      <c r="C132" s="112" t="s">
        <v>32</v>
      </c>
      <c r="D132" s="112" t="s">
        <v>362</v>
      </c>
      <c r="E132" s="148"/>
      <c r="F132" s="113"/>
      <c r="G132" s="113">
        <v>6</v>
      </c>
      <c r="H132" s="144"/>
      <c r="I132" s="115"/>
      <c r="J132" s="115">
        <f>714513.67*1.0216-326809</f>
        <v>403138.16527200013</v>
      </c>
      <c r="K132" s="115"/>
      <c r="L132" s="115"/>
      <c r="M132" s="115"/>
      <c r="N132" s="115"/>
      <c r="O132" s="115"/>
      <c r="P132" s="115"/>
      <c r="Q132" s="115"/>
      <c r="R132" s="115"/>
      <c r="T132" s="116" t="s">
        <v>346</v>
      </c>
    </row>
    <row r="133" spans="1:20" s="117" customFormat="1" ht="31.5">
      <c r="A133" s="111" t="s">
        <v>136</v>
      </c>
      <c r="B133" s="112" t="s">
        <v>324</v>
      </c>
      <c r="C133" s="112" t="s">
        <v>33</v>
      </c>
      <c r="D133" s="112" t="s">
        <v>362</v>
      </c>
      <c r="E133" s="148"/>
      <c r="F133" s="113"/>
      <c r="G133" s="113"/>
      <c r="H133" s="144"/>
      <c r="I133" s="115"/>
      <c r="J133" s="115"/>
      <c r="K133" s="115"/>
      <c r="L133" s="115"/>
      <c r="M133" s="115"/>
      <c r="N133" s="115"/>
      <c r="O133" s="115"/>
      <c r="P133" s="115"/>
      <c r="Q133" s="115"/>
      <c r="R133" s="115">
        <v>326809</v>
      </c>
      <c r="T133" s="116"/>
    </row>
    <row r="134" spans="1:20" s="117" customFormat="1">
      <c r="A134" s="111" t="s">
        <v>138</v>
      </c>
      <c r="B134" s="112" t="s">
        <v>318</v>
      </c>
      <c r="C134" s="112" t="s">
        <v>32</v>
      </c>
      <c r="D134" s="112" t="s">
        <v>325</v>
      </c>
      <c r="E134" s="148"/>
      <c r="F134" s="113"/>
      <c r="G134" s="113"/>
      <c r="H134" s="115"/>
      <c r="I134" s="115"/>
      <c r="J134" s="115"/>
      <c r="K134" s="115"/>
      <c r="L134" s="115"/>
      <c r="M134" s="115">
        <v>2011.7</v>
      </c>
      <c r="N134" s="115"/>
      <c r="O134" s="115"/>
      <c r="P134" s="115"/>
      <c r="Q134" s="115"/>
      <c r="R134" s="115"/>
      <c r="T134" s="116"/>
    </row>
    <row r="135" spans="1:20" s="117" customFormat="1">
      <c r="A135" s="111" t="s">
        <v>138</v>
      </c>
      <c r="B135" s="112" t="s">
        <v>306</v>
      </c>
      <c r="C135" s="112" t="s">
        <v>32</v>
      </c>
      <c r="D135" s="112" t="s">
        <v>306</v>
      </c>
      <c r="E135" s="112">
        <v>7</v>
      </c>
      <c r="F135" s="113"/>
      <c r="G135" s="113"/>
      <c r="H135" s="115"/>
      <c r="I135" s="115"/>
      <c r="J135" s="115"/>
      <c r="K135" s="115"/>
      <c r="L135" s="115"/>
      <c r="M135" s="115"/>
      <c r="N135" s="115"/>
      <c r="O135" s="115"/>
      <c r="P135" s="115">
        <f>994*E135</f>
        <v>6958</v>
      </c>
      <c r="Q135" s="115"/>
      <c r="R135" s="115"/>
      <c r="T135" s="116"/>
    </row>
    <row r="136" spans="1:20" s="117" customFormat="1">
      <c r="A136" s="111" t="s">
        <v>140</v>
      </c>
      <c r="B136" s="112" t="s">
        <v>306</v>
      </c>
      <c r="C136" s="112" t="s">
        <v>32</v>
      </c>
      <c r="D136" s="112" t="s">
        <v>306</v>
      </c>
      <c r="E136" s="112">
        <v>6</v>
      </c>
      <c r="F136" s="113"/>
      <c r="G136" s="113"/>
      <c r="H136" s="115"/>
      <c r="I136" s="115"/>
      <c r="J136" s="115"/>
      <c r="K136" s="115"/>
      <c r="L136" s="115"/>
      <c r="M136" s="115"/>
      <c r="N136" s="115"/>
      <c r="O136" s="115"/>
      <c r="P136" s="115">
        <f>994*E136</f>
        <v>5964</v>
      </c>
      <c r="Q136" s="115"/>
      <c r="R136" s="115"/>
      <c r="T136" s="116"/>
    </row>
    <row r="137" spans="1:20" s="117" customFormat="1" ht="31.5">
      <c r="A137" s="111" t="s">
        <v>142</v>
      </c>
      <c r="B137" s="112" t="s">
        <v>306</v>
      </c>
      <c r="C137" s="112" t="s">
        <v>32</v>
      </c>
      <c r="D137" s="112" t="s">
        <v>306</v>
      </c>
      <c r="E137" s="112">
        <v>7</v>
      </c>
      <c r="F137" s="113"/>
      <c r="G137" s="113"/>
      <c r="H137" s="115"/>
      <c r="I137" s="115"/>
      <c r="J137" s="115"/>
      <c r="K137" s="115"/>
      <c r="L137" s="115"/>
      <c r="M137" s="115"/>
      <c r="N137" s="115"/>
      <c r="O137" s="115"/>
      <c r="P137" s="115">
        <f>994*E137</f>
        <v>6958</v>
      </c>
      <c r="Q137" s="115"/>
      <c r="R137" s="115"/>
      <c r="T137" s="116"/>
    </row>
    <row r="138" spans="1:20" s="117" customFormat="1" ht="31.5">
      <c r="A138" s="111" t="s">
        <v>401</v>
      </c>
      <c r="B138" s="112" t="s">
        <v>379</v>
      </c>
      <c r="C138" s="112" t="s">
        <v>32</v>
      </c>
      <c r="D138" s="112" t="s">
        <v>376</v>
      </c>
      <c r="E138" s="112"/>
      <c r="F138" s="113"/>
      <c r="G138" s="113"/>
      <c r="H138" s="115"/>
      <c r="I138" s="115"/>
      <c r="J138" s="115"/>
      <c r="K138" s="115"/>
      <c r="L138" s="115">
        <f>121034.3/1.13*1.0216</f>
        <v>109423.57600000002</v>
      </c>
      <c r="M138" s="115"/>
      <c r="N138" s="115"/>
      <c r="O138" s="115"/>
      <c r="P138" s="115"/>
      <c r="Q138" s="115"/>
      <c r="R138" s="115"/>
      <c r="T138" s="116"/>
    </row>
    <row r="139" spans="1:20" s="117" customFormat="1">
      <c r="A139" s="111" t="s">
        <v>401</v>
      </c>
      <c r="B139" s="112" t="s">
        <v>394</v>
      </c>
      <c r="C139" s="112" t="s">
        <v>32</v>
      </c>
      <c r="D139" s="112" t="s">
        <v>306</v>
      </c>
      <c r="E139" s="112"/>
      <c r="F139" s="113"/>
      <c r="G139" s="113"/>
      <c r="H139" s="115"/>
      <c r="I139" s="115"/>
      <c r="J139" s="115"/>
      <c r="K139" s="115"/>
      <c r="L139" s="115"/>
      <c r="M139" s="115"/>
      <c r="N139" s="115"/>
      <c r="O139" s="115"/>
      <c r="P139" s="115">
        <f>178000-42742</f>
        <v>135258</v>
      </c>
      <c r="Q139" s="115"/>
      <c r="R139" s="115"/>
      <c r="T139" s="116"/>
    </row>
    <row r="140" spans="1:20" s="117" customFormat="1" ht="31.5">
      <c r="A140" s="111" t="s">
        <v>401</v>
      </c>
      <c r="B140" s="160" t="s">
        <v>377</v>
      </c>
      <c r="C140" s="112" t="s">
        <v>32</v>
      </c>
      <c r="D140" s="161" t="s">
        <v>376</v>
      </c>
      <c r="E140" s="112"/>
      <c r="F140" s="113"/>
      <c r="G140" s="113"/>
      <c r="H140" s="115"/>
      <c r="I140" s="115"/>
      <c r="J140" s="115"/>
      <c r="K140" s="115"/>
      <c r="L140" s="115"/>
      <c r="M140" s="162">
        <f>244200*1.0216-N140</f>
        <v>215495.65</v>
      </c>
      <c r="N140" s="162">
        <f>5295.98+28683.09</f>
        <v>33979.07</v>
      </c>
      <c r="O140" s="115"/>
      <c r="P140" s="115"/>
      <c r="Q140" s="115"/>
      <c r="R140" s="115"/>
      <c r="T140" s="116"/>
    </row>
    <row r="141" spans="1:20" s="117" customFormat="1">
      <c r="A141" s="111" t="s">
        <v>401</v>
      </c>
      <c r="B141" s="112" t="s">
        <v>381</v>
      </c>
      <c r="C141" s="112" t="s">
        <v>32</v>
      </c>
      <c r="D141" s="112" t="s">
        <v>382</v>
      </c>
      <c r="E141" s="112"/>
      <c r="F141" s="113"/>
      <c r="G141" s="113"/>
      <c r="H141" s="115"/>
      <c r="I141" s="115"/>
      <c r="J141" s="115"/>
      <c r="K141" s="115"/>
      <c r="L141" s="115">
        <f>42649.18/1.13*1.0216</f>
        <v>38557.878130973462</v>
      </c>
      <c r="M141" s="115"/>
      <c r="N141" s="115"/>
      <c r="O141" s="115"/>
      <c r="P141" s="115"/>
      <c r="Q141" s="115"/>
      <c r="R141" s="115"/>
      <c r="T141" s="116"/>
    </row>
    <row r="142" spans="1:20" s="117" customFormat="1" ht="31.5">
      <c r="A142" s="111" t="s">
        <v>401</v>
      </c>
      <c r="B142" s="112" t="s">
        <v>387</v>
      </c>
      <c r="C142" s="112" t="s">
        <v>32</v>
      </c>
      <c r="D142" s="112" t="s">
        <v>391</v>
      </c>
      <c r="E142" s="112"/>
      <c r="F142" s="113"/>
      <c r="G142" s="113"/>
      <c r="H142" s="115"/>
      <c r="I142" s="115"/>
      <c r="J142" s="115"/>
      <c r="K142" s="115"/>
      <c r="L142" s="115">
        <f>23607.11/1.13*1.0216</f>
        <v>21342.498739823011</v>
      </c>
      <c r="M142" s="115"/>
      <c r="N142" s="115"/>
      <c r="O142" s="115"/>
      <c r="P142" s="115"/>
      <c r="Q142" s="115"/>
      <c r="R142" s="115"/>
      <c r="T142" s="116"/>
    </row>
    <row r="143" spans="1:20" s="117" customFormat="1" ht="31.5">
      <c r="A143" s="111" t="s">
        <v>401</v>
      </c>
      <c r="B143" s="112" t="s">
        <v>388</v>
      </c>
      <c r="C143" s="112" t="s">
        <v>32</v>
      </c>
      <c r="D143" s="112" t="s">
        <v>391</v>
      </c>
      <c r="E143" s="112"/>
      <c r="F143" s="113"/>
      <c r="G143" s="113"/>
      <c r="H143" s="115"/>
      <c r="I143" s="115"/>
      <c r="J143" s="115"/>
      <c r="K143" s="115"/>
      <c r="L143" s="115">
        <f>28963.07/1.13*1.0216</f>
        <v>26184.665762831864</v>
      </c>
      <c r="M143" s="115"/>
      <c r="N143" s="115"/>
      <c r="O143" s="115"/>
      <c r="P143" s="115"/>
      <c r="Q143" s="115"/>
      <c r="R143" s="115"/>
      <c r="T143" s="116"/>
    </row>
    <row r="144" spans="1:20" s="117" customFormat="1">
      <c r="A144" s="111" t="s">
        <v>401</v>
      </c>
      <c r="B144" s="112" t="s">
        <v>385</v>
      </c>
      <c r="C144" s="112" t="s">
        <v>32</v>
      </c>
      <c r="D144" s="112" t="s">
        <v>391</v>
      </c>
      <c r="E144" s="112"/>
      <c r="F144" s="113"/>
      <c r="G144" s="113"/>
      <c r="H144" s="115"/>
      <c r="I144" s="115"/>
      <c r="J144" s="115"/>
      <c r="K144" s="115"/>
      <c r="L144" s="115">
        <f>14481.54/1.13*1.0216</f>
        <v>13092.337401769913</v>
      </c>
      <c r="M144" s="115"/>
      <c r="N144" s="115"/>
      <c r="O144" s="115"/>
      <c r="P144" s="115"/>
      <c r="Q144" s="115"/>
      <c r="R144" s="115"/>
      <c r="T144" s="116"/>
    </row>
    <row r="145" spans="1:20" s="117" customFormat="1">
      <c r="A145" s="111" t="s">
        <v>401</v>
      </c>
      <c r="B145" s="112" t="s">
        <v>403</v>
      </c>
      <c r="C145" s="112" t="s">
        <v>33</v>
      </c>
      <c r="D145" s="112" t="s">
        <v>382</v>
      </c>
      <c r="E145" s="112"/>
      <c r="F145" s="113"/>
      <c r="G145" s="113"/>
      <c r="H145" s="115"/>
      <c r="I145" s="115"/>
      <c r="J145" s="115"/>
      <c r="K145" s="115"/>
      <c r="L145" s="115"/>
      <c r="M145" s="115"/>
      <c r="N145" s="115"/>
      <c r="O145" s="115"/>
      <c r="P145" s="115"/>
      <c r="Q145" s="115">
        <v>192184</v>
      </c>
      <c r="R145" s="115"/>
      <c r="T145" s="116"/>
    </row>
    <row r="146" spans="1:20" s="117" customFormat="1">
      <c r="A146" s="111" t="s">
        <v>401</v>
      </c>
      <c r="B146" s="112" t="s">
        <v>385</v>
      </c>
      <c r="C146" s="112" t="s">
        <v>32</v>
      </c>
      <c r="D146" s="112" t="s">
        <v>391</v>
      </c>
      <c r="E146" s="112"/>
      <c r="F146" s="113"/>
      <c r="G146" s="113"/>
      <c r="H146" s="115"/>
      <c r="I146" s="115"/>
      <c r="J146" s="115"/>
      <c r="K146" s="115"/>
      <c r="L146" s="115">
        <f>14481.54/1.13*1.0216</f>
        <v>13092.337401769913</v>
      </c>
      <c r="M146" s="115"/>
      <c r="N146" s="115"/>
      <c r="O146" s="115"/>
      <c r="P146" s="115"/>
      <c r="Q146" s="115"/>
      <c r="R146" s="115"/>
      <c r="T146" s="116"/>
    </row>
    <row r="147" spans="1:20">
      <c r="A147" s="130"/>
      <c r="B147" s="131"/>
      <c r="C147" s="131"/>
      <c r="D147" s="131"/>
      <c r="E147" s="147">
        <f>SUM(E2:E144)</f>
        <v>207</v>
      </c>
      <c r="F147" s="147">
        <f>SUM(F2:F146)</f>
        <v>16</v>
      </c>
      <c r="G147" s="147">
        <f>SUM(G2:G146)</f>
        <v>50</v>
      </c>
      <c r="H147" s="132">
        <f>SUM(H2:H146)</f>
        <v>706347.68629600003</v>
      </c>
      <c r="I147" s="132">
        <f t="shared" ref="I147:S147" si="0">SUM(I2:I146)</f>
        <v>1289376.1720000003</v>
      </c>
      <c r="J147" s="132">
        <f t="shared" si="0"/>
        <v>3935345.4580880003</v>
      </c>
      <c r="K147" s="132">
        <f t="shared" si="0"/>
        <v>151974.46</v>
      </c>
      <c r="L147" s="132">
        <f t="shared" si="0"/>
        <v>349069.16103362839</v>
      </c>
      <c r="M147" s="132">
        <f t="shared" si="0"/>
        <v>354399.99860799999</v>
      </c>
      <c r="N147" s="132">
        <f t="shared" si="0"/>
        <v>33979.07</v>
      </c>
      <c r="O147" s="132">
        <f t="shared" si="0"/>
        <v>30000.000000000007</v>
      </c>
      <c r="P147" s="132">
        <f t="shared" si="0"/>
        <v>178000</v>
      </c>
      <c r="Q147" s="132">
        <f t="shared" si="0"/>
        <v>192184</v>
      </c>
      <c r="R147" s="132">
        <f t="shared" si="0"/>
        <v>326809</v>
      </c>
      <c r="S147" s="132">
        <f t="shared" si="0"/>
        <v>1475000</v>
      </c>
      <c r="T147" s="133"/>
    </row>
    <row r="148" spans="1:20">
      <c r="E148" s="158"/>
      <c r="F148" s="158"/>
      <c r="G148" s="158"/>
      <c r="H148" s="138"/>
      <c r="I148" s="138"/>
      <c r="J148" s="138"/>
      <c r="K148" s="138"/>
      <c r="L148" s="138"/>
      <c r="M148" s="138"/>
      <c r="N148" s="138"/>
      <c r="O148" s="138"/>
      <c r="P148" s="138"/>
      <c r="Q148" s="138"/>
      <c r="R148" s="138"/>
      <c r="S148" s="138"/>
    </row>
    <row r="149" spans="1:20">
      <c r="E149" s="158"/>
      <c r="F149" s="158"/>
      <c r="G149" s="158"/>
      <c r="H149" s="138"/>
      <c r="I149" s="138"/>
      <c r="J149" s="138"/>
      <c r="K149" s="138"/>
      <c r="L149" s="138"/>
      <c r="M149" s="138"/>
      <c r="N149" s="138"/>
      <c r="O149" s="138"/>
      <c r="P149" s="138"/>
      <c r="Q149" s="138"/>
      <c r="R149" s="138"/>
      <c r="S149" s="138"/>
    </row>
    <row r="150" spans="1:20">
      <c r="A150" s="166" t="s">
        <v>395</v>
      </c>
      <c r="K150" s="138"/>
      <c r="L150" s="138">
        <v>354400</v>
      </c>
      <c r="M150" s="138">
        <v>354400</v>
      </c>
      <c r="N150" s="138"/>
      <c r="O150" s="138">
        <v>30000</v>
      </c>
      <c r="P150" s="138">
        <v>178000</v>
      </c>
      <c r="Q150" s="138">
        <v>192184</v>
      </c>
      <c r="R150" s="138">
        <v>326809</v>
      </c>
      <c r="S150" s="138">
        <v>1475000</v>
      </c>
    </row>
    <row r="151" spans="1:20">
      <c r="A151" s="134" t="s">
        <v>396</v>
      </c>
      <c r="I151" s="139"/>
      <c r="K151" s="139"/>
      <c r="L151" s="139">
        <f t="shared" ref="L151:S151" si="1">+L150-L147</f>
        <v>5330.838966371608</v>
      </c>
      <c r="M151" s="139">
        <f t="shared" si="1"/>
        <v>1.3920000055804849E-3</v>
      </c>
      <c r="N151" s="139">
        <f t="shared" si="1"/>
        <v>-33979.07</v>
      </c>
      <c r="O151" s="139">
        <f t="shared" si="1"/>
        <v>0</v>
      </c>
      <c r="P151" s="139">
        <f t="shared" si="1"/>
        <v>0</v>
      </c>
      <c r="Q151" s="139">
        <f t="shared" si="1"/>
        <v>0</v>
      </c>
      <c r="R151" s="139">
        <f t="shared" si="1"/>
        <v>0</v>
      </c>
      <c r="S151" s="139">
        <f t="shared" si="1"/>
        <v>0</v>
      </c>
    </row>
    <row r="152" spans="1:20">
      <c r="A152" s="140" t="s">
        <v>397</v>
      </c>
      <c r="H152" s="141"/>
      <c r="J152" s="141"/>
      <c r="K152" s="141"/>
      <c r="L152" s="167">
        <v>120</v>
      </c>
      <c r="M152" s="167">
        <v>0</v>
      </c>
      <c r="N152" s="167">
        <v>0</v>
      </c>
      <c r="O152" s="167">
        <v>44</v>
      </c>
      <c r="P152" s="167">
        <v>179</v>
      </c>
      <c r="Q152" s="167">
        <v>0</v>
      </c>
      <c r="R152" s="167">
        <v>0</v>
      </c>
      <c r="S152" s="167"/>
      <c r="T152" s="141"/>
    </row>
    <row r="153" spans="1:20">
      <c r="A153" s="140"/>
      <c r="B153" s="129"/>
      <c r="C153" s="129"/>
      <c r="D153" s="129"/>
      <c r="E153" s="129"/>
      <c r="F153" s="142"/>
      <c r="G153" s="142"/>
      <c r="H153" s="141"/>
      <c r="I153" s="141"/>
      <c r="J153" s="141"/>
      <c r="K153" s="141"/>
      <c r="M153" s="141"/>
      <c r="N153" s="141"/>
      <c r="O153" s="141"/>
      <c r="P153" s="141"/>
      <c r="Q153" s="141"/>
      <c r="R153" s="141"/>
      <c r="T153" s="141"/>
    </row>
    <row r="154" spans="1:20">
      <c r="A154" s="140"/>
      <c r="B154" s="129"/>
      <c r="C154" s="129"/>
      <c r="D154" s="129"/>
      <c r="E154" s="129"/>
      <c r="F154" s="142"/>
      <c r="G154" s="142"/>
      <c r="H154" s="141"/>
      <c r="I154" s="141"/>
      <c r="J154" s="141"/>
      <c r="K154" s="141"/>
      <c r="L154" s="141"/>
      <c r="M154" s="141"/>
      <c r="N154" s="141"/>
      <c r="O154" s="141"/>
      <c r="P154" s="141"/>
      <c r="Q154" s="141"/>
      <c r="R154" s="141"/>
      <c r="T154" s="141"/>
    </row>
    <row r="155" spans="1:20">
      <c r="A155" s="140"/>
      <c r="B155" s="129"/>
      <c r="C155" s="129"/>
      <c r="D155" s="129"/>
      <c r="E155" s="129"/>
      <c r="F155" s="142"/>
      <c r="G155" s="142"/>
      <c r="H155" s="141"/>
      <c r="I155" s="141"/>
      <c r="J155" s="141"/>
      <c r="K155" s="141"/>
      <c r="L155" s="141"/>
      <c r="M155" s="141"/>
      <c r="N155" s="141"/>
      <c r="O155" s="141"/>
      <c r="P155" s="141"/>
      <c r="Q155" s="141"/>
      <c r="R155" s="141"/>
      <c r="T155" s="141"/>
    </row>
    <row r="156" spans="1:20">
      <c r="A156" s="140"/>
      <c r="B156" s="129"/>
      <c r="C156" s="129"/>
      <c r="D156" s="129"/>
      <c r="E156" s="129"/>
      <c r="F156" s="142"/>
      <c r="G156" s="142"/>
      <c r="H156" s="141"/>
      <c r="I156" s="141"/>
      <c r="J156" s="141"/>
      <c r="K156" s="141"/>
      <c r="L156" s="141"/>
      <c r="M156" s="141"/>
      <c r="N156" s="141"/>
      <c r="O156" s="141"/>
      <c r="P156" s="141"/>
      <c r="Q156" s="141"/>
      <c r="R156" s="141"/>
      <c r="T156" s="141"/>
    </row>
    <row r="157" spans="1:20">
      <c r="A157" s="140"/>
      <c r="B157" s="129"/>
      <c r="C157" s="129"/>
      <c r="D157" s="129"/>
      <c r="E157" s="129"/>
      <c r="F157" s="142"/>
      <c r="G157" s="142"/>
      <c r="H157" s="141"/>
      <c r="I157" s="141"/>
      <c r="J157" s="141"/>
      <c r="K157" s="141"/>
      <c r="L157" s="141"/>
      <c r="M157" s="141"/>
      <c r="N157" s="141"/>
      <c r="O157" s="141"/>
      <c r="P157" s="141"/>
      <c r="Q157" s="141"/>
      <c r="R157" s="141"/>
      <c r="T157" s="141"/>
    </row>
    <row r="158" spans="1:20">
      <c r="A158" s="140"/>
      <c r="B158" s="129"/>
      <c r="C158" s="129"/>
      <c r="D158" s="129"/>
      <c r="E158" s="129"/>
      <c r="F158" s="142"/>
      <c r="G158" s="142"/>
      <c r="H158" s="141"/>
      <c r="I158" s="141"/>
      <c r="J158" s="141"/>
      <c r="K158" s="141"/>
      <c r="L158" s="141"/>
      <c r="M158" s="141"/>
      <c r="N158" s="141"/>
      <c r="O158" s="141"/>
      <c r="P158" s="141"/>
      <c r="Q158" s="141"/>
      <c r="R158" s="141"/>
      <c r="T158" s="141"/>
    </row>
    <row r="159" spans="1:20">
      <c r="A159" s="140"/>
      <c r="B159" s="129"/>
      <c r="C159" s="129"/>
      <c r="D159" s="129"/>
      <c r="E159" s="129"/>
      <c r="F159" s="142"/>
      <c r="G159" s="142"/>
      <c r="H159" s="141"/>
      <c r="I159" s="141"/>
      <c r="J159" s="141"/>
      <c r="K159" s="141"/>
      <c r="L159" s="141"/>
      <c r="M159" s="141"/>
      <c r="N159" s="141"/>
      <c r="O159" s="141"/>
      <c r="P159" s="141"/>
      <c r="Q159" s="141"/>
      <c r="R159" s="141"/>
      <c r="T159" s="141"/>
    </row>
    <row r="160" spans="1:20">
      <c r="A160" s="140"/>
      <c r="B160" s="129"/>
      <c r="C160" s="129"/>
      <c r="D160" s="129"/>
      <c r="E160" s="129"/>
      <c r="F160" s="142"/>
      <c r="G160" s="142"/>
      <c r="H160" s="141"/>
      <c r="I160" s="141"/>
      <c r="J160" s="141"/>
      <c r="K160" s="141"/>
      <c r="L160" s="141"/>
      <c r="M160" s="141"/>
      <c r="N160" s="141"/>
      <c r="O160" s="141"/>
      <c r="P160" s="141"/>
      <c r="Q160" s="141"/>
      <c r="R160" s="141"/>
      <c r="T160" s="141"/>
    </row>
    <row r="161" spans="1:20">
      <c r="A161" s="140"/>
      <c r="B161" s="129"/>
      <c r="C161" s="129"/>
      <c r="D161" s="129"/>
      <c r="E161" s="129"/>
      <c r="F161" s="142"/>
      <c r="G161" s="142"/>
      <c r="H161" s="141"/>
      <c r="I161" s="141"/>
      <c r="J161" s="141"/>
      <c r="K161" s="141"/>
      <c r="L161" s="141"/>
      <c r="M161" s="141"/>
      <c r="N161" s="141"/>
      <c r="O161" s="141"/>
      <c r="P161" s="141"/>
      <c r="Q161" s="141"/>
      <c r="R161" s="141"/>
      <c r="T161" s="141"/>
    </row>
    <row r="162" spans="1:20">
      <c r="A162" s="140"/>
      <c r="B162" s="129"/>
      <c r="C162" s="129"/>
      <c r="D162" s="129"/>
      <c r="E162" s="129"/>
      <c r="F162" s="142"/>
      <c r="G162" s="142"/>
      <c r="H162" s="141"/>
      <c r="I162" s="141"/>
      <c r="J162" s="141"/>
      <c r="K162" s="141"/>
      <c r="L162" s="141"/>
      <c r="M162" s="141"/>
      <c r="N162" s="141"/>
      <c r="O162" s="141"/>
      <c r="P162" s="141"/>
      <c r="Q162" s="141"/>
      <c r="R162" s="141"/>
      <c r="T162" s="141"/>
    </row>
    <row r="163" spans="1:20">
      <c r="A163" s="140"/>
      <c r="B163" s="129"/>
      <c r="C163" s="129"/>
      <c r="D163" s="129"/>
      <c r="E163" s="129"/>
      <c r="F163" s="142"/>
      <c r="G163" s="142"/>
      <c r="H163" s="141"/>
      <c r="I163" s="141"/>
      <c r="J163" s="141"/>
      <c r="K163" s="141"/>
      <c r="L163" s="141"/>
      <c r="M163" s="141"/>
      <c r="N163" s="141"/>
      <c r="O163" s="141"/>
      <c r="P163" s="141"/>
      <c r="Q163" s="141"/>
      <c r="R163" s="141"/>
      <c r="T163" s="141"/>
    </row>
    <row r="164" spans="1:20">
      <c r="A164" s="140"/>
      <c r="B164" s="129"/>
      <c r="C164" s="129"/>
      <c r="D164" s="129"/>
      <c r="E164" s="129"/>
      <c r="F164" s="142"/>
      <c r="G164" s="142"/>
      <c r="H164" s="141"/>
      <c r="I164" s="141"/>
      <c r="J164" s="141"/>
      <c r="K164" s="141"/>
      <c r="L164" s="141"/>
      <c r="M164" s="141"/>
      <c r="N164" s="141"/>
      <c r="O164" s="141"/>
      <c r="P164" s="141"/>
      <c r="Q164" s="141"/>
      <c r="R164" s="141"/>
      <c r="T164" s="141"/>
    </row>
    <row r="165" spans="1:20">
      <c r="A165" s="140"/>
      <c r="B165" s="129"/>
      <c r="C165" s="129"/>
      <c r="D165" s="129"/>
      <c r="E165" s="129"/>
      <c r="F165" s="142"/>
      <c r="G165" s="142"/>
      <c r="H165" s="141"/>
      <c r="I165" s="141"/>
      <c r="J165" s="141"/>
      <c r="K165" s="141"/>
      <c r="L165" s="141"/>
      <c r="M165" s="141"/>
      <c r="N165" s="141"/>
      <c r="O165" s="141"/>
      <c r="P165" s="141"/>
      <c r="Q165" s="141"/>
      <c r="R165" s="141"/>
      <c r="T165" s="141"/>
    </row>
    <row r="166" spans="1:20">
      <c r="A166" s="140"/>
      <c r="B166" s="129"/>
      <c r="C166" s="129"/>
      <c r="D166" s="129"/>
      <c r="E166" s="129"/>
      <c r="F166" s="142"/>
      <c r="G166" s="142"/>
      <c r="H166" s="141"/>
      <c r="I166" s="141"/>
      <c r="J166" s="141"/>
      <c r="K166" s="141"/>
      <c r="L166" s="141"/>
      <c r="M166" s="141"/>
      <c r="N166" s="141"/>
      <c r="O166" s="141"/>
      <c r="P166" s="141"/>
      <c r="Q166" s="141"/>
      <c r="R166" s="141"/>
      <c r="T166" s="141"/>
    </row>
    <row r="167" spans="1:20">
      <c r="A167" s="140"/>
      <c r="B167" s="129"/>
      <c r="C167" s="129"/>
      <c r="D167" s="129"/>
      <c r="E167" s="129"/>
      <c r="F167" s="142"/>
      <c r="G167" s="142"/>
      <c r="H167" s="141"/>
      <c r="I167" s="141"/>
      <c r="J167" s="141"/>
      <c r="K167" s="141"/>
      <c r="L167" s="141"/>
      <c r="M167" s="141"/>
      <c r="N167" s="141"/>
      <c r="O167" s="141"/>
      <c r="P167" s="141"/>
      <c r="Q167" s="141"/>
      <c r="R167" s="141"/>
      <c r="T167" s="141"/>
    </row>
    <row r="168" spans="1:20">
      <c r="A168" s="140"/>
      <c r="B168" s="129"/>
      <c r="C168" s="129"/>
      <c r="D168" s="129"/>
      <c r="E168" s="129"/>
      <c r="F168" s="142"/>
      <c r="G168" s="142"/>
      <c r="H168" s="141"/>
      <c r="I168" s="141"/>
      <c r="J168" s="141"/>
      <c r="K168" s="141"/>
      <c r="L168" s="141"/>
      <c r="M168" s="141"/>
      <c r="N168" s="141"/>
      <c r="O168" s="141"/>
      <c r="P168" s="141"/>
      <c r="Q168" s="141"/>
      <c r="R168" s="141"/>
      <c r="T168" s="141"/>
    </row>
    <row r="169" spans="1:20">
      <c r="A169" s="140"/>
      <c r="B169" s="129"/>
      <c r="C169" s="129"/>
      <c r="D169" s="129"/>
      <c r="E169" s="129"/>
      <c r="F169" s="142"/>
      <c r="G169" s="142"/>
      <c r="H169" s="141"/>
      <c r="I169" s="141"/>
      <c r="J169" s="141"/>
      <c r="K169" s="141"/>
      <c r="L169" s="141"/>
      <c r="M169" s="141"/>
      <c r="N169" s="141"/>
      <c r="O169" s="141"/>
      <c r="P169" s="141"/>
      <c r="Q169" s="141"/>
      <c r="R169" s="141"/>
      <c r="T169" s="141"/>
    </row>
    <row r="170" spans="1:20">
      <c r="A170" s="140"/>
      <c r="B170" s="129"/>
      <c r="C170" s="129"/>
      <c r="D170" s="129"/>
      <c r="E170" s="129"/>
      <c r="F170" s="142"/>
      <c r="G170" s="142"/>
      <c r="H170" s="141"/>
      <c r="I170" s="141"/>
      <c r="J170" s="141"/>
      <c r="K170" s="141"/>
      <c r="L170" s="141"/>
      <c r="M170" s="141"/>
      <c r="N170" s="141"/>
      <c r="O170" s="141"/>
      <c r="P170" s="141"/>
      <c r="Q170" s="141"/>
      <c r="R170" s="141"/>
      <c r="T170" s="141"/>
    </row>
    <row r="171" spans="1:20">
      <c r="A171" s="140"/>
      <c r="B171" s="129"/>
      <c r="C171" s="129"/>
      <c r="D171" s="129"/>
      <c r="E171" s="129"/>
      <c r="F171" s="142"/>
      <c r="G171" s="142"/>
      <c r="H171" s="141"/>
      <c r="I171" s="141"/>
      <c r="J171" s="141"/>
      <c r="K171" s="141"/>
      <c r="L171" s="141"/>
      <c r="M171" s="141"/>
      <c r="N171" s="141"/>
      <c r="O171" s="141"/>
      <c r="P171" s="141"/>
      <c r="Q171" s="141"/>
      <c r="R171" s="141"/>
      <c r="T171" s="141"/>
    </row>
    <row r="172" spans="1:20">
      <c r="A172" s="140"/>
      <c r="B172" s="129"/>
      <c r="C172" s="129"/>
      <c r="D172" s="129"/>
      <c r="E172" s="129"/>
      <c r="F172" s="142"/>
      <c r="G172" s="142"/>
      <c r="H172" s="141"/>
      <c r="I172" s="141"/>
      <c r="J172" s="141"/>
      <c r="K172" s="141"/>
      <c r="L172" s="141"/>
      <c r="M172" s="141"/>
      <c r="N172" s="141"/>
      <c r="O172" s="141"/>
      <c r="P172" s="141"/>
      <c r="Q172" s="141"/>
      <c r="R172" s="141"/>
      <c r="T172" s="141"/>
    </row>
    <row r="173" spans="1:20">
      <c r="A173" s="140"/>
      <c r="B173" s="129"/>
      <c r="C173" s="129"/>
      <c r="D173" s="129"/>
      <c r="E173" s="129"/>
      <c r="F173" s="142"/>
      <c r="G173" s="142"/>
      <c r="H173" s="141"/>
      <c r="I173" s="141"/>
      <c r="J173" s="141"/>
      <c r="K173" s="141"/>
      <c r="L173" s="141"/>
      <c r="M173" s="141"/>
      <c r="N173" s="141"/>
      <c r="O173" s="141"/>
      <c r="P173" s="141"/>
      <c r="Q173" s="141"/>
      <c r="R173" s="141"/>
      <c r="T173" s="141"/>
    </row>
    <row r="174" spans="1:20">
      <c r="A174" s="140"/>
      <c r="B174" s="129"/>
      <c r="C174" s="129"/>
      <c r="D174" s="129"/>
      <c r="E174" s="129"/>
      <c r="F174" s="142"/>
      <c r="G174" s="142"/>
      <c r="H174" s="141"/>
      <c r="I174" s="141"/>
      <c r="J174" s="141"/>
      <c r="K174" s="141"/>
      <c r="L174" s="141"/>
      <c r="M174" s="141"/>
      <c r="N174" s="141"/>
      <c r="O174" s="141"/>
      <c r="P174" s="141"/>
      <c r="Q174" s="141"/>
      <c r="R174" s="141"/>
      <c r="T174" s="141"/>
    </row>
    <row r="175" spans="1:20">
      <c r="A175" s="140"/>
      <c r="B175" s="129"/>
      <c r="C175" s="129"/>
      <c r="D175" s="129"/>
      <c r="E175" s="129"/>
      <c r="F175" s="142"/>
      <c r="G175" s="142"/>
      <c r="H175" s="141"/>
      <c r="I175" s="141"/>
      <c r="J175" s="141"/>
      <c r="K175" s="141"/>
      <c r="L175" s="141"/>
      <c r="M175" s="141"/>
      <c r="N175" s="141"/>
      <c r="O175" s="141"/>
      <c r="P175" s="141"/>
      <c r="Q175" s="141"/>
      <c r="R175" s="141"/>
      <c r="T175" s="141"/>
    </row>
    <row r="176" spans="1:20">
      <c r="A176" s="140"/>
      <c r="B176" s="129"/>
      <c r="C176" s="129"/>
      <c r="D176" s="129"/>
      <c r="E176" s="129"/>
      <c r="F176" s="142"/>
      <c r="G176" s="142"/>
      <c r="H176" s="141"/>
      <c r="I176" s="141"/>
      <c r="J176" s="141"/>
      <c r="K176" s="141"/>
      <c r="L176" s="141"/>
      <c r="M176" s="141"/>
      <c r="N176" s="141"/>
      <c r="O176" s="141"/>
      <c r="P176" s="141"/>
      <c r="Q176" s="141"/>
      <c r="R176" s="141"/>
      <c r="T176" s="141"/>
    </row>
    <row r="177" spans="1:20">
      <c r="A177" s="140"/>
      <c r="B177" s="129"/>
      <c r="C177" s="129"/>
      <c r="D177" s="129"/>
      <c r="E177" s="129"/>
      <c r="F177" s="142"/>
      <c r="G177" s="142"/>
      <c r="H177" s="141"/>
      <c r="I177" s="141"/>
      <c r="J177" s="141"/>
      <c r="K177" s="141"/>
      <c r="L177" s="141"/>
      <c r="M177" s="141"/>
      <c r="N177" s="141"/>
      <c r="O177" s="141"/>
      <c r="P177" s="141"/>
      <c r="Q177" s="141"/>
      <c r="R177" s="141"/>
      <c r="T177" s="141"/>
    </row>
    <row r="178" spans="1:20">
      <c r="A178" s="140"/>
      <c r="B178" s="129"/>
      <c r="C178" s="129"/>
      <c r="D178" s="129"/>
      <c r="E178" s="129"/>
      <c r="F178" s="142"/>
      <c r="G178" s="142"/>
      <c r="H178" s="141"/>
      <c r="I178" s="141"/>
      <c r="J178" s="141"/>
      <c r="K178" s="141"/>
      <c r="L178" s="141"/>
      <c r="M178" s="141"/>
      <c r="N178" s="141"/>
      <c r="O178" s="141"/>
      <c r="P178" s="141"/>
      <c r="Q178" s="141"/>
      <c r="R178" s="141"/>
      <c r="T178" s="141"/>
    </row>
    <row r="179" spans="1:20">
      <c r="A179" s="140"/>
      <c r="B179" s="129"/>
      <c r="C179" s="129"/>
      <c r="D179" s="129"/>
      <c r="E179" s="129"/>
      <c r="F179" s="142"/>
      <c r="G179" s="142"/>
      <c r="H179" s="141"/>
      <c r="I179" s="141"/>
      <c r="J179" s="141"/>
      <c r="K179" s="141"/>
      <c r="L179" s="141"/>
      <c r="M179" s="141"/>
      <c r="N179" s="141"/>
      <c r="O179" s="141"/>
      <c r="P179" s="141"/>
      <c r="Q179" s="141"/>
      <c r="R179" s="141"/>
      <c r="T179" s="141"/>
    </row>
    <row r="180" spans="1:20">
      <c r="A180" s="140"/>
      <c r="B180" s="129"/>
      <c r="C180" s="129"/>
      <c r="D180" s="129"/>
      <c r="E180" s="129"/>
      <c r="F180" s="142"/>
      <c r="G180" s="142"/>
      <c r="H180" s="141"/>
      <c r="I180" s="141"/>
      <c r="J180" s="141"/>
      <c r="K180" s="141"/>
      <c r="L180" s="141"/>
      <c r="M180" s="141"/>
      <c r="N180" s="141"/>
      <c r="O180" s="141"/>
      <c r="P180" s="141"/>
      <c r="Q180" s="141"/>
      <c r="R180" s="141"/>
      <c r="T180" s="141"/>
    </row>
    <row r="181" spans="1:20">
      <c r="A181" s="140"/>
      <c r="B181" s="129"/>
      <c r="C181" s="129"/>
      <c r="D181" s="129"/>
      <c r="E181" s="129"/>
      <c r="F181" s="142"/>
      <c r="G181" s="142"/>
      <c r="H181" s="141"/>
      <c r="I181" s="141"/>
      <c r="J181" s="141"/>
      <c r="K181" s="141"/>
      <c r="L181" s="141"/>
      <c r="M181" s="141"/>
      <c r="N181" s="141"/>
      <c r="O181" s="141"/>
      <c r="P181" s="141"/>
      <c r="Q181" s="141"/>
      <c r="R181" s="141"/>
      <c r="T181" s="141"/>
    </row>
    <row r="182" spans="1:20">
      <c r="A182" s="140"/>
      <c r="B182" s="129"/>
      <c r="C182" s="129"/>
      <c r="D182" s="129"/>
      <c r="E182" s="129"/>
      <c r="F182" s="142"/>
      <c r="G182" s="142"/>
      <c r="H182" s="141"/>
      <c r="I182" s="141"/>
      <c r="J182" s="141"/>
      <c r="K182" s="141"/>
      <c r="L182" s="141"/>
      <c r="M182" s="141"/>
      <c r="N182" s="141"/>
      <c r="O182" s="141"/>
      <c r="P182" s="141"/>
      <c r="Q182" s="141"/>
      <c r="R182" s="141"/>
      <c r="T182" s="141"/>
    </row>
    <row r="183" spans="1:20">
      <c r="A183" s="140"/>
      <c r="B183" s="129"/>
      <c r="C183" s="129"/>
      <c r="D183" s="129"/>
      <c r="E183" s="129"/>
      <c r="F183" s="142"/>
      <c r="G183" s="142"/>
      <c r="H183" s="141"/>
      <c r="I183" s="141"/>
      <c r="J183" s="141"/>
      <c r="K183" s="141"/>
      <c r="L183" s="141"/>
      <c r="M183" s="141"/>
      <c r="N183" s="141"/>
      <c r="O183" s="141"/>
      <c r="P183" s="141"/>
      <c r="Q183" s="141"/>
      <c r="R183" s="141"/>
      <c r="T183" s="141"/>
    </row>
    <row r="184" spans="1:20">
      <c r="A184" s="140"/>
      <c r="B184" s="129"/>
      <c r="C184" s="129"/>
      <c r="D184" s="129"/>
      <c r="E184" s="129"/>
      <c r="F184" s="142"/>
      <c r="G184" s="142"/>
      <c r="H184" s="141"/>
      <c r="I184" s="141"/>
      <c r="J184" s="141"/>
      <c r="K184" s="141"/>
      <c r="L184" s="141"/>
      <c r="M184" s="141"/>
      <c r="N184" s="141"/>
      <c r="O184" s="141"/>
      <c r="P184" s="141"/>
      <c r="Q184" s="141"/>
      <c r="R184" s="141"/>
      <c r="T184" s="141"/>
    </row>
    <row r="185" spans="1:20">
      <c r="A185" s="140"/>
      <c r="B185" s="129"/>
      <c r="C185" s="129"/>
      <c r="D185" s="129"/>
      <c r="E185" s="129"/>
      <c r="F185" s="142"/>
      <c r="G185" s="142"/>
      <c r="H185" s="141"/>
      <c r="I185" s="141"/>
      <c r="J185" s="141"/>
      <c r="K185" s="141"/>
      <c r="L185" s="141"/>
      <c r="M185" s="141"/>
      <c r="N185" s="141"/>
      <c r="O185" s="141"/>
      <c r="P185" s="141"/>
      <c r="Q185" s="141"/>
      <c r="R185" s="141"/>
      <c r="T185" s="141"/>
    </row>
    <row r="186" spans="1:20">
      <c r="A186" s="140"/>
      <c r="B186" s="129"/>
      <c r="C186" s="129"/>
      <c r="D186" s="129"/>
      <c r="E186" s="129"/>
      <c r="F186" s="142"/>
      <c r="G186" s="142"/>
      <c r="H186" s="141"/>
      <c r="I186" s="141"/>
      <c r="J186" s="141"/>
      <c r="K186" s="141"/>
      <c r="L186" s="141"/>
      <c r="M186" s="141"/>
      <c r="N186" s="141"/>
      <c r="O186" s="141"/>
      <c r="P186" s="141"/>
      <c r="Q186" s="141"/>
      <c r="R186" s="141"/>
      <c r="T186" s="141"/>
    </row>
    <row r="187" spans="1:20">
      <c r="A187" s="140"/>
      <c r="B187" s="129"/>
      <c r="C187" s="129"/>
      <c r="D187" s="129"/>
      <c r="E187" s="129"/>
      <c r="F187" s="142"/>
      <c r="G187" s="142"/>
      <c r="H187" s="141"/>
      <c r="I187" s="141"/>
      <c r="J187" s="141"/>
      <c r="K187" s="141"/>
      <c r="L187" s="141"/>
      <c r="M187" s="141"/>
      <c r="N187" s="141"/>
      <c r="O187" s="141"/>
      <c r="P187" s="141"/>
      <c r="Q187" s="141"/>
      <c r="R187" s="141"/>
      <c r="T187" s="141"/>
    </row>
    <row r="188" spans="1:20">
      <c r="A188" s="140"/>
      <c r="B188" s="129"/>
      <c r="C188" s="129"/>
      <c r="D188" s="129"/>
      <c r="E188" s="129"/>
      <c r="F188" s="142"/>
      <c r="G188" s="142"/>
      <c r="H188" s="141"/>
      <c r="I188" s="141"/>
      <c r="J188" s="141"/>
      <c r="K188" s="141"/>
      <c r="L188" s="141"/>
      <c r="M188" s="141"/>
      <c r="N188" s="141"/>
      <c r="O188" s="141"/>
      <c r="P188" s="141"/>
      <c r="Q188" s="141"/>
      <c r="R188" s="141"/>
      <c r="T188" s="141"/>
    </row>
    <row r="189" spans="1:20">
      <c r="A189" s="140"/>
      <c r="B189" s="129"/>
      <c r="C189" s="129"/>
      <c r="D189" s="129"/>
      <c r="E189" s="129"/>
      <c r="F189" s="142"/>
      <c r="G189" s="142"/>
      <c r="H189" s="141"/>
      <c r="I189" s="141"/>
      <c r="J189" s="141"/>
      <c r="K189" s="141"/>
      <c r="L189" s="141"/>
      <c r="M189" s="141"/>
      <c r="N189" s="141"/>
      <c r="O189" s="141"/>
      <c r="P189" s="141"/>
      <c r="Q189" s="141"/>
      <c r="R189" s="141"/>
      <c r="T189" s="141"/>
    </row>
    <row r="190" spans="1:20">
      <c r="A190" s="140"/>
      <c r="B190" s="129"/>
      <c r="C190" s="129"/>
      <c r="D190" s="129"/>
      <c r="E190" s="129"/>
      <c r="F190" s="142"/>
      <c r="G190" s="142"/>
      <c r="H190" s="141"/>
      <c r="I190" s="141"/>
      <c r="J190" s="141"/>
      <c r="K190" s="141"/>
      <c r="L190" s="141"/>
      <c r="M190" s="141"/>
      <c r="N190" s="141"/>
      <c r="O190" s="141"/>
      <c r="P190" s="141"/>
      <c r="Q190" s="141"/>
      <c r="R190" s="141"/>
      <c r="T190" s="141"/>
    </row>
    <row r="191" spans="1:20">
      <c r="A191" s="140"/>
      <c r="B191" s="129"/>
      <c r="C191" s="129"/>
      <c r="D191" s="129"/>
      <c r="E191" s="129"/>
      <c r="F191" s="142"/>
      <c r="G191" s="142"/>
      <c r="H191" s="141"/>
      <c r="I191" s="141"/>
      <c r="J191" s="141"/>
      <c r="K191" s="141"/>
      <c r="L191" s="141"/>
      <c r="M191" s="141"/>
      <c r="N191" s="141"/>
      <c r="O191" s="141"/>
      <c r="P191" s="141"/>
      <c r="Q191" s="141"/>
      <c r="R191" s="141"/>
      <c r="T191" s="141"/>
    </row>
    <row r="192" spans="1:20">
      <c r="A192" s="140"/>
      <c r="B192" s="129"/>
      <c r="C192" s="129"/>
      <c r="D192" s="129"/>
      <c r="E192" s="129"/>
      <c r="F192" s="142"/>
      <c r="G192" s="142"/>
      <c r="H192" s="141"/>
      <c r="I192" s="141"/>
      <c r="J192" s="141"/>
      <c r="K192" s="141"/>
      <c r="L192" s="141"/>
      <c r="M192" s="141"/>
      <c r="N192" s="141"/>
      <c r="O192" s="141"/>
      <c r="P192" s="141"/>
      <c r="Q192" s="141"/>
      <c r="R192" s="141"/>
      <c r="T192" s="141"/>
    </row>
    <row r="193" spans="1:20">
      <c r="A193" s="140"/>
      <c r="B193" s="129"/>
      <c r="C193" s="129"/>
      <c r="D193" s="129"/>
      <c r="E193" s="129"/>
      <c r="F193" s="142"/>
      <c r="G193" s="142"/>
      <c r="H193" s="141"/>
      <c r="I193" s="141"/>
      <c r="J193" s="141"/>
      <c r="K193" s="141"/>
      <c r="L193" s="141"/>
      <c r="M193" s="141"/>
      <c r="N193" s="141"/>
      <c r="O193" s="141"/>
      <c r="P193" s="141"/>
      <c r="Q193" s="141"/>
      <c r="R193" s="141"/>
      <c r="T193" s="141"/>
    </row>
    <row r="194" spans="1:20">
      <c r="A194" s="140"/>
      <c r="B194" s="129"/>
      <c r="C194" s="129"/>
      <c r="D194" s="129"/>
      <c r="E194" s="129"/>
      <c r="F194" s="142"/>
      <c r="G194" s="142"/>
      <c r="H194" s="141"/>
      <c r="I194" s="141"/>
      <c r="J194" s="141"/>
      <c r="K194" s="141"/>
      <c r="L194" s="141"/>
      <c r="M194" s="141"/>
      <c r="N194" s="141"/>
      <c r="O194" s="141"/>
      <c r="P194" s="141"/>
      <c r="Q194" s="141"/>
      <c r="R194" s="141"/>
      <c r="T194" s="141"/>
    </row>
    <row r="195" spans="1:20">
      <c r="A195" s="140"/>
      <c r="B195" s="129"/>
      <c r="C195" s="129"/>
      <c r="D195" s="129"/>
      <c r="E195" s="129"/>
      <c r="F195" s="142"/>
      <c r="G195" s="142"/>
      <c r="H195" s="141"/>
      <c r="I195" s="141"/>
      <c r="J195" s="141"/>
      <c r="K195" s="141"/>
      <c r="L195" s="141"/>
      <c r="M195" s="141"/>
      <c r="N195" s="141"/>
      <c r="O195" s="141"/>
      <c r="P195" s="141"/>
      <c r="Q195" s="141"/>
      <c r="R195" s="141"/>
      <c r="T195" s="141"/>
    </row>
    <row r="196" spans="1:20">
      <c r="A196" s="140"/>
      <c r="B196" s="129"/>
      <c r="C196" s="129"/>
      <c r="D196" s="129"/>
      <c r="E196" s="129"/>
      <c r="F196" s="142"/>
      <c r="G196" s="142"/>
      <c r="H196" s="141"/>
      <c r="I196" s="141"/>
      <c r="J196" s="141"/>
      <c r="K196" s="141"/>
      <c r="L196" s="141"/>
      <c r="M196" s="141"/>
      <c r="N196" s="141"/>
      <c r="O196" s="141"/>
      <c r="P196" s="141"/>
      <c r="Q196" s="141"/>
      <c r="R196" s="141"/>
      <c r="T196" s="141"/>
    </row>
    <row r="197" spans="1:20">
      <c r="A197" s="140"/>
      <c r="B197" s="129"/>
      <c r="C197" s="129"/>
      <c r="D197" s="129"/>
      <c r="E197" s="129"/>
      <c r="F197" s="142"/>
      <c r="G197" s="142"/>
      <c r="H197" s="141"/>
      <c r="I197" s="141"/>
      <c r="J197" s="141"/>
      <c r="K197" s="141"/>
      <c r="L197" s="141"/>
      <c r="M197" s="141"/>
      <c r="N197" s="141"/>
      <c r="O197" s="141"/>
      <c r="P197" s="141"/>
      <c r="Q197" s="141"/>
      <c r="R197" s="141"/>
      <c r="T197" s="141"/>
    </row>
    <row r="198" spans="1:20">
      <c r="A198" s="140"/>
      <c r="B198" s="129"/>
      <c r="C198" s="129"/>
      <c r="D198" s="129"/>
      <c r="E198" s="129"/>
      <c r="F198" s="142"/>
      <c r="G198" s="142"/>
      <c r="H198" s="141"/>
      <c r="I198" s="141"/>
      <c r="J198" s="141"/>
      <c r="K198" s="141"/>
      <c r="L198" s="141"/>
      <c r="M198" s="141"/>
      <c r="N198" s="141"/>
      <c r="O198" s="141"/>
      <c r="P198" s="141"/>
      <c r="Q198" s="141"/>
      <c r="R198" s="141"/>
      <c r="T198" s="141"/>
    </row>
    <row r="199" spans="1:20">
      <c r="A199" s="140"/>
      <c r="B199" s="129"/>
      <c r="C199" s="129"/>
      <c r="D199" s="129"/>
      <c r="E199" s="129"/>
      <c r="F199" s="142"/>
      <c r="G199" s="142"/>
      <c r="H199" s="141"/>
      <c r="I199" s="141"/>
      <c r="J199" s="141"/>
      <c r="K199" s="141"/>
      <c r="L199" s="141"/>
      <c r="M199" s="141"/>
      <c r="N199" s="141"/>
      <c r="O199" s="141"/>
      <c r="P199" s="141"/>
      <c r="Q199" s="141"/>
      <c r="R199" s="141"/>
      <c r="T199" s="141"/>
    </row>
    <row r="200" spans="1:20">
      <c r="A200" s="140"/>
      <c r="B200" s="129"/>
      <c r="C200" s="129"/>
      <c r="D200" s="129"/>
      <c r="E200" s="129"/>
      <c r="F200" s="142"/>
      <c r="G200" s="142"/>
      <c r="H200" s="141"/>
      <c r="I200" s="141"/>
      <c r="J200" s="141"/>
      <c r="K200" s="141"/>
      <c r="L200" s="141"/>
      <c r="M200" s="141"/>
      <c r="N200" s="141"/>
      <c r="O200" s="141"/>
      <c r="P200" s="141"/>
      <c r="Q200" s="141"/>
      <c r="R200" s="141"/>
      <c r="T200" s="141"/>
    </row>
    <row r="201" spans="1:20">
      <c r="A201" s="140"/>
      <c r="B201" s="129"/>
      <c r="C201" s="129"/>
      <c r="D201" s="129"/>
      <c r="E201" s="129"/>
      <c r="F201" s="142"/>
      <c r="G201" s="142"/>
      <c r="H201" s="141"/>
      <c r="I201" s="141"/>
      <c r="J201" s="141"/>
      <c r="K201" s="141"/>
      <c r="L201" s="141"/>
      <c r="M201" s="141"/>
      <c r="N201" s="141"/>
      <c r="O201" s="141"/>
      <c r="P201" s="141"/>
      <c r="Q201" s="141"/>
      <c r="R201" s="141"/>
      <c r="T201" s="141"/>
    </row>
    <row r="202" spans="1:20">
      <c r="A202" s="140"/>
      <c r="B202" s="129"/>
      <c r="C202" s="129"/>
      <c r="D202" s="129"/>
      <c r="E202" s="129"/>
      <c r="F202" s="142"/>
      <c r="G202" s="142"/>
      <c r="H202" s="141"/>
      <c r="I202" s="141"/>
      <c r="J202" s="141"/>
      <c r="K202" s="141"/>
      <c r="L202" s="141"/>
      <c r="M202" s="141"/>
      <c r="N202" s="141"/>
      <c r="O202" s="141"/>
      <c r="P202" s="141"/>
      <c r="Q202" s="141"/>
      <c r="R202" s="141"/>
      <c r="T202" s="141"/>
    </row>
    <row r="203" spans="1:20">
      <c r="A203" s="140"/>
      <c r="B203" s="129"/>
      <c r="C203" s="129"/>
      <c r="D203" s="129"/>
      <c r="E203" s="129"/>
      <c r="F203" s="142"/>
      <c r="G203" s="142"/>
      <c r="H203" s="141"/>
      <c r="I203" s="141"/>
      <c r="J203" s="141"/>
      <c r="K203" s="141"/>
      <c r="L203" s="141"/>
      <c r="M203" s="141"/>
      <c r="N203" s="141"/>
      <c r="O203" s="141"/>
      <c r="P203" s="141"/>
      <c r="Q203" s="141"/>
      <c r="R203" s="141"/>
      <c r="T203" s="141"/>
    </row>
    <row r="204" spans="1:20">
      <c r="A204" s="140"/>
      <c r="B204" s="129"/>
      <c r="C204" s="129"/>
      <c r="D204" s="129"/>
      <c r="E204" s="129"/>
      <c r="F204" s="142"/>
      <c r="G204" s="142"/>
      <c r="H204" s="141"/>
      <c r="I204" s="141"/>
      <c r="J204" s="141"/>
      <c r="K204" s="141"/>
      <c r="L204" s="141"/>
      <c r="M204" s="141"/>
      <c r="N204" s="141"/>
      <c r="O204" s="141"/>
      <c r="P204" s="141"/>
      <c r="Q204" s="141"/>
      <c r="R204" s="141"/>
      <c r="T204" s="141"/>
    </row>
    <row r="205" spans="1:20">
      <c r="A205" s="140"/>
      <c r="B205" s="129"/>
      <c r="C205" s="129"/>
      <c r="D205" s="129"/>
      <c r="E205" s="129"/>
      <c r="F205" s="142"/>
      <c r="G205" s="142"/>
      <c r="H205" s="141"/>
      <c r="I205" s="141"/>
      <c r="J205" s="141"/>
      <c r="K205" s="141"/>
      <c r="L205" s="141"/>
      <c r="M205" s="141"/>
      <c r="N205" s="141"/>
      <c r="O205" s="141"/>
      <c r="P205" s="141"/>
      <c r="Q205" s="141"/>
      <c r="R205" s="141"/>
      <c r="T205" s="141"/>
    </row>
    <row r="206" spans="1:20">
      <c r="A206" s="140"/>
      <c r="B206" s="129"/>
      <c r="C206" s="129"/>
      <c r="D206" s="129"/>
      <c r="E206" s="129"/>
      <c r="F206" s="142"/>
      <c r="G206" s="142"/>
      <c r="H206" s="141"/>
      <c r="I206" s="141"/>
      <c r="J206" s="141"/>
      <c r="K206" s="141"/>
      <c r="L206" s="141"/>
      <c r="M206" s="141"/>
      <c r="N206" s="141"/>
      <c r="O206" s="141"/>
      <c r="P206" s="141"/>
      <c r="Q206" s="141"/>
      <c r="R206" s="141"/>
      <c r="T206" s="141"/>
    </row>
    <row r="207" spans="1:20">
      <c r="A207" s="140"/>
      <c r="B207" s="129"/>
      <c r="C207" s="129"/>
      <c r="D207" s="129"/>
      <c r="E207" s="129"/>
      <c r="F207" s="142"/>
      <c r="G207" s="142"/>
      <c r="H207" s="141"/>
      <c r="I207" s="141"/>
      <c r="J207" s="141"/>
      <c r="K207" s="141"/>
      <c r="L207" s="141"/>
      <c r="M207" s="141"/>
      <c r="N207" s="141"/>
      <c r="O207" s="141"/>
      <c r="P207" s="141"/>
      <c r="Q207" s="141"/>
      <c r="R207" s="141"/>
      <c r="T207" s="141"/>
    </row>
    <row r="208" spans="1:20">
      <c r="A208" s="140"/>
      <c r="B208" s="129"/>
      <c r="C208" s="129"/>
      <c r="D208" s="129"/>
      <c r="E208" s="129"/>
      <c r="F208" s="142"/>
      <c r="G208" s="142"/>
      <c r="H208" s="141"/>
      <c r="I208" s="141"/>
      <c r="J208" s="141"/>
      <c r="K208" s="141"/>
      <c r="L208" s="141"/>
      <c r="M208" s="141"/>
      <c r="N208" s="141"/>
      <c r="O208" s="141"/>
      <c r="P208" s="141"/>
      <c r="Q208" s="141"/>
      <c r="R208" s="141"/>
      <c r="T208" s="141"/>
    </row>
    <row r="209" spans="1:20">
      <c r="A209" s="140"/>
      <c r="B209" s="129"/>
      <c r="C209" s="129"/>
      <c r="D209" s="129"/>
      <c r="E209" s="129"/>
      <c r="F209" s="142"/>
      <c r="G209" s="142"/>
      <c r="H209" s="141"/>
      <c r="I209" s="141"/>
      <c r="J209" s="141"/>
      <c r="K209" s="141"/>
      <c r="L209" s="141"/>
      <c r="M209" s="141"/>
      <c r="N209" s="141"/>
      <c r="O209" s="141"/>
      <c r="P209" s="141"/>
      <c r="Q209" s="141"/>
      <c r="R209" s="141"/>
      <c r="T209" s="141"/>
    </row>
    <row r="210" spans="1:20">
      <c r="A210" s="140"/>
      <c r="B210" s="129"/>
      <c r="C210" s="129"/>
      <c r="D210" s="129"/>
      <c r="E210" s="129"/>
      <c r="F210" s="142"/>
      <c r="G210" s="142"/>
      <c r="H210" s="141"/>
      <c r="I210" s="141"/>
      <c r="J210" s="141"/>
      <c r="K210" s="141"/>
      <c r="L210" s="141"/>
      <c r="M210" s="141"/>
      <c r="N210" s="141"/>
      <c r="O210" s="141"/>
      <c r="P210" s="141"/>
      <c r="Q210" s="141"/>
      <c r="R210" s="141"/>
      <c r="T210" s="141"/>
    </row>
    <row r="211" spans="1:20">
      <c r="A211" s="140"/>
      <c r="B211" s="129"/>
      <c r="C211" s="129"/>
      <c r="D211" s="129"/>
      <c r="E211" s="129"/>
      <c r="F211" s="142"/>
      <c r="G211" s="142"/>
      <c r="H211" s="141"/>
      <c r="I211" s="141"/>
      <c r="J211" s="141"/>
      <c r="K211" s="141"/>
      <c r="L211" s="141"/>
      <c r="M211" s="141"/>
      <c r="N211" s="141"/>
      <c r="O211" s="141"/>
      <c r="P211" s="141"/>
      <c r="Q211" s="141"/>
      <c r="R211" s="141"/>
      <c r="T211" s="141"/>
    </row>
    <row r="212" spans="1:20">
      <c r="A212" s="140"/>
      <c r="B212" s="129"/>
      <c r="C212" s="129"/>
      <c r="D212" s="129"/>
      <c r="E212" s="129"/>
      <c r="F212" s="142"/>
      <c r="G212" s="142"/>
      <c r="H212" s="141"/>
      <c r="I212" s="141"/>
      <c r="J212" s="141"/>
      <c r="K212" s="141"/>
      <c r="L212" s="141"/>
      <c r="M212" s="141"/>
      <c r="N212" s="141"/>
      <c r="O212" s="141"/>
      <c r="P212" s="141"/>
      <c r="Q212" s="141"/>
      <c r="R212" s="141"/>
      <c r="T212" s="141"/>
    </row>
    <row r="213" spans="1:20">
      <c r="A213" s="140"/>
      <c r="B213" s="129"/>
      <c r="C213" s="129"/>
      <c r="D213" s="129"/>
      <c r="E213" s="129"/>
      <c r="F213" s="142"/>
      <c r="G213" s="142"/>
      <c r="H213" s="141"/>
      <c r="I213" s="141"/>
      <c r="J213" s="141"/>
      <c r="K213" s="141"/>
      <c r="L213" s="141"/>
      <c r="M213" s="141"/>
      <c r="N213" s="141"/>
      <c r="O213" s="141"/>
      <c r="P213" s="141"/>
      <c r="Q213" s="141"/>
      <c r="R213" s="141"/>
      <c r="T213" s="141"/>
    </row>
    <row r="214" spans="1:20">
      <c r="A214" s="140"/>
      <c r="B214" s="129"/>
      <c r="C214" s="129"/>
      <c r="D214" s="129"/>
      <c r="E214" s="129"/>
      <c r="F214" s="142"/>
      <c r="G214" s="142"/>
      <c r="H214" s="141"/>
      <c r="I214" s="141"/>
      <c r="J214" s="141"/>
      <c r="K214" s="141"/>
      <c r="L214" s="141"/>
      <c r="M214" s="141"/>
      <c r="N214" s="141"/>
      <c r="O214" s="141"/>
      <c r="P214" s="141"/>
      <c r="Q214" s="141"/>
      <c r="R214" s="141"/>
      <c r="T214" s="141"/>
    </row>
    <row r="215" spans="1:20">
      <c r="A215" s="140"/>
      <c r="B215" s="129"/>
      <c r="C215" s="129"/>
      <c r="D215" s="129"/>
      <c r="E215" s="129"/>
      <c r="F215" s="142"/>
      <c r="G215" s="142"/>
      <c r="H215" s="141"/>
      <c r="I215" s="141"/>
      <c r="J215" s="141"/>
      <c r="K215" s="141"/>
      <c r="L215" s="141"/>
      <c r="M215" s="141"/>
      <c r="N215" s="141"/>
      <c r="O215" s="141"/>
      <c r="P215" s="141"/>
      <c r="Q215" s="141"/>
      <c r="R215" s="141"/>
      <c r="T215" s="141"/>
    </row>
    <row r="216" spans="1:20">
      <c r="A216" s="140"/>
      <c r="B216" s="129"/>
      <c r="C216" s="129"/>
      <c r="D216" s="129"/>
      <c r="E216" s="129"/>
      <c r="F216" s="142"/>
      <c r="G216" s="142"/>
      <c r="H216" s="141"/>
      <c r="I216" s="141"/>
      <c r="J216" s="141"/>
      <c r="K216" s="141"/>
      <c r="L216" s="141"/>
      <c r="M216" s="141"/>
      <c r="N216" s="141"/>
      <c r="O216" s="141"/>
      <c r="P216" s="141"/>
      <c r="Q216" s="141"/>
      <c r="R216" s="141"/>
      <c r="T216" s="141"/>
    </row>
    <row r="217" spans="1:20">
      <c r="A217" s="140"/>
      <c r="B217" s="129"/>
      <c r="C217" s="129"/>
      <c r="D217" s="129"/>
      <c r="E217" s="129"/>
      <c r="F217" s="142"/>
      <c r="G217" s="142"/>
      <c r="H217" s="141"/>
      <c r="I217" s="141"/>
      <c r="J217" s="141"/>
      <c r="K217" s="141"/>
      <c r="L217" s="141"/>
      <c r="M217" s="141"/>
      <c r="N217" s="141"/>
      <c r="O217" s="141"/>
      <c r="P217" s="141"/>
      <c r="Q217" s="141"/>
      <c r="R217" s="141"/>
      <c r="T217" s="141"/>
    </row>
    <row r="218" spans="1:20">
      <c r="A218" s="140"/>
      <c r="B218" s="129"/>
      <c r="C218" s="129"/>
      <c r="D218" s="129"/>
      <c r="E218" s="129"/>
      <c r="F218" s="142"/>
      <c r="G218" s="142"/>
      <c r="H218" s="141"/>
      <c r="I218" s="141"/>
      <c r="J218" s="141"/>
      <c r="K218" s="141"/>
      <c r="L218" s="141"/>
      <c r="M218" s="141"/>
      <c r="N218" s="141"/>
      <c r="O218" s="141"/>
      <c r="P218" s="141"/>
      <c r="Q218" s="141"/>
      <c r="R218" s="141"/>
      <c r="T218" s="141"/>
    </row>
    <row r="219" spans="1:20">
      <c r="A219" s="140"/>
      <c r="B219" s="129"/>
      <c r="C219" s="129"/>
      <c r="D219" s="129"/>
      <c r="E219" s="129"/>
      <c r="F219" s="142"/>
      <c r="G219" s="142"/>
      <c r="H219" s="141"/>
      <c r="I219" s="141"/>
      <c r="J219" s="141"/>
      <c r="K219" s="141"/>
      <c r="L219" s="141"/>
      <c r="M219" s="141"/>
      <c r="N219" s="141"/>
      <c r="O219" s="141"/>
      <c r="P219" s="141"/>
      <c r="Q219" s="141"/>
      <c r="R219" s="141"/>
      <c r="T219" s="141"/>
    </row>
    <row r="220" spans="1:20">
      <c r="A220" s="140"/>
      <c r="B220" s="129"/>
      <c r="C220" s="129"/>
      <c r="D220" s="129"/>
      <c r="E220" s="129"/>
      <c r="F220" s="142"/>
      <c r="G220" s="142"/>
      <c r="H220" s="141"/>
      <c r="I220" s="141"/>
      <c r="J220" s="141"/>
      <c r="K220" s="141"/>
      <c r="L220" s="141"/>
      <c r="M220" s="141"/>
      <c r="N220" s="141"/>
      <c r="O220" s="141"/>
      <c r="P220" s="141"/>
      <c r="Q220" s="141"/>
      <c r="R220" s="141"/>
      <c r="T220" s="141"/>
    </row>
    <row r="221" spans="1:20">
      <c r="A221" s="140"/>
      <c r="B221" s="129"/>
      <c r="C221" s="129"/>
      <c r="D221" s="129"/>
      <c r="E221" s="129"/>
      <c r="F221" s="142"/>
      <c r="G221" s="142"/>
      <c r="H221" s="141"/>
      <c r="I221" s="141"/>
      <c r="J221" s="141"/>
      <c r="K221" s="141"/>
      <c r="L221" s="141"/>
      <c r="M221" s="141"/>
      <c r="N221" s="141"/>
      <c r="O221" s="141"/>
      <c r="P221" s="141"/>
      <c r="Q221" s="141"/>
      <c r="R221" s="141"/>
      <c r="T221" s="141"/>
    </row>
    <row r="222" spans="1:20">
      <c r="A222" s="140"/>
      <c r="B222" s="129"/>
      <c r="C222" s="129"/>
      <c r="D222" s="129"/>
      <c r="E222" s="129"/>
      <c r="F222" s="142"/>
      <c r="G222" s="142"/>
      <c r="H222" s="141"/>
      <c r="I222" s="141"/>
      <c r="J222" s="141"/>
      <c r="K222" s="141"/>
      <c r="L222" s="141"/>
      <c r="M222" s="141"/>
      <c r="N222" s="141"/>
      <c r="O222" s="141"/>
      <c r="P222" s="141"/>
      <c r="Q222" s="141"/>
      <c r="R222" s="141"/>
      <c r="T222" s="141"/>
    </row>
    <row r="223" spans="1:20">
      <c r="A223" s="140"/>
      <c r="B223" s="129"/>
      <c r="C223" s="129"/>
      <c r="D223" s="129"/>
      <c r="E223" s="129"/>
      <c r="F223" s="142"/>
      <c r="G223" s="142"/>
      <c r="H223" s="141"/>
      <c r="I223" s="141"/>
      <c r="J223" s="141"/>
      <c r="K223" s="141"/>
      <c r="L223" s="141"/>
      <c r="M223" s="141"/>
      <c r="N223" s="141"/>
      <c r="O223" s="141"/>
      <c r="P223" s="141"/>
      <c r="Q223" s="141"/>
      <c r="R223" s="141"/>
      <c r="T223" s="141"/>
    </row>
    <row r="224" spans="1:20">
      <c r="A224" s="140"/>
      <c r="B224" s="129"/>
      <c r="C224" s="129"/>
      <c r="D224" s="129"/>
      <c r="E224" s="129"/>
      <c r="F224" s="142"/>
      <c r="G224" s="142"/>
      <c r="H224" s="141"/>
      <c r="I224" s="141"/>
      <c r="J224" s="141"/>
      <c r="K224" s="141"/>
      <c r="L224" s="141"/>
      <c r="M224" s="141"/>
      <c r="N224" s="141"/>
      <c r="O224" s="141"/>
      <c r="P224" s="141"/>
      <c r="Q224" s="141"/>
      <c r="R224" s="141"/>
      <c r="T224" s="141"/>
    </row>
    <row r="225" spans="1:20">
      <c r="A225" s="140"/>
      <c r="B225" s="129"/>
      <c r="C225" s="129"/>
      <c r="D225" s="129"/>
      <c r="E225" s="129"/>
      <c r="F225" s="142"/>
      <c r="G225" s="142"/>
      <c r="H225" s="141"/>
      <c r="I225" s="141"/>
      <c r="J225" s="141"/>
      <c r="K225" s="141"/>
      <c r="L225" s="141"/>
      <c r="M225" s="141"/>
      <c r="N225" s="141"/>
      <c r="O225" s="141"/>
      <c r="P225" s="141"/>
      <c r="Q225" s="141"/>
      <c r="R225" s="141"/>
      <c r="T225" s="141"/>
    </row>
    <row r="226" spans="1:20">
      <c r="A226" s="140"/>
      <c r="B226" s="129"/>
      <c r="C226" s="129"/>
      <c r="D226" s="129"/>
      <c r="E226" s="129"/>
      <c r="F226" s="142"/>
      <c r="G226" s="142"/>
      <c r="H226" s="141"/>
      <c r="I226" s="141"/>
      <c r="J226" s="141"/>
      <c r="K226" s="141"/>
      <c r="L226" s="141"/>
      <c r="M226" s="141"/>
      <c r="N226" s="141"/>
      <c r="O226" s="141"/>
      <c r="P226" s="141"/>
      <c r="Q226" s="141"/>
      <c r="R226" s="141"/>
      <c r="T226" s="141"/>
    </row>
    <row r="227" spans="1:20">
      <c r="A227" s="140"/>
      <c r="B227" s="129"/>
      <c r="C227" s="129"/>
      <c r="D227" s="129"/>
      <c r="E227" s="129"/>
      <c r="F227" s="142"/>
      <c r="G227" s="142"/>
      <c r="H227" s="141"/>
      <c r="I227" s="141"/>
      <c r="J227" s="141"/>
      <c r="K227" s="141"/>
      <c r="L227" s="141"/>
      <c r="M227" s="141"/>
      <c r="N227" s="141"/>
      <c r="O227" s="141"/>
      <c r="P227" s="141"/>
      <c r="Q227" s="141"/>
      <c r="R227" s="141"/>
      <c r="T227" s="141"/>
    </row>
    <row r="228" spans="1:20">
      <c r="A228" s="140"/>
      <c r="B228" s="129"/>
      <c r="C228" s="129"/>
      <c r="D228" s="129"/>
      <c r="E228" s="129"/>
      <c r="F228" s="142"/>
      <c r="G228" s="142"/>
      <c r="H228" s="141"/>
      <c r="I228" s="141"/>
      <c r="J228" s="141"/>
      <c r="K228" s="141"/>
      <c r="L228" s="141"/>
      <c r="M228" s="141"/>
      <c r="N228" s="141"/>
      <c r="O228" s="141"/>
      <c r="P228" s="141"/>
      <c r="Q228" s="141"/>
      <c r="R228" s="141"/>
      <c r="T228" s="141"/>
    </row>
    <row r="229" spans="1:20">
      <c r="A229" s="140"/>
      <c r="B229" s="129"/>
      <c r="C229" s="129"/>
      <c r="D229" s="129"/>
      <c r="E229" s="129"/>
      <c r="F229" s="142"/>
      <c r="G229" s="142"/>
      <c r="H229" s="141"/>
      <c r="I229" s="141"/>
      <c r="J229" s="141"/>
      <c r="K229" s="141"/>
      <c r="L229" s="141"/>
      <c r="M229" s="141"/>
      <c r="N229" s="141"/>
      <c r="O229" s="141"/>
      <c r="P229" s="141"/>
      <c r="Q229" s="141"/>
      <c r="R229" s="141"/>
      <c r="T229" s="141"/>
    </row>
    <row r="230" spans="1:20">
      <c r="A230" s="140"/>
      <c r="B230" s="129"/>
      <c r="C230" s="129"/>
      <c r="D230" s="129"/>
      <c r="E230" s="129"/>
      <c r="F230" s="142"/>
      <c r="G230" s="142"/>
      <c r="H230" s="141"/>
      <c r="I230" s="141"/>
      <c r="J230" s="141"/>
      <c r="K230" s="141"/>
      <c r="L230" s="141"/>
      <c r="M230" s="141"/>
      <c r="N230" s="141"/>
      <c r="O230" s="141"/>
      <c r="P230" s="141"/>
      <c r="Q230" s="141"/>
      <c r="R230" s="141"/>
      <c r="T230" s="141"/>
    </row>
    <row r="231" spans="1:20">
      <c r="A231" s="140"/>
      <c r="B231" s="129"/>
      <c r="C231" s="129"/>
      <c r="D231" s="129"/>
      <c r="E231" s="129"/>
      <c r="F231" s="142"/>
      <c r="G231" s="142"/>
      <c r="H231" s="141"/>
      <c r="I231" s="141"/>
      <c r="J231" s="141"/>
      <c r="K231" s="141"/>
      <c r="L231" s="141"/>
      <c r="M231" s="141"/>
      <c r="N231" s="141"/>
      <c r="O231" s="141"/>
      <c r="P231" s="141"/>
      <c r="Q231" s="141"/>
      <c r="R231" s="141"/>
      <c r="T231" s="141"/>
    </row>
    <row r="232" spans="1:20">
      <c r="A232" s="140"/>
      <c r="B232" s="129"/>
      <c r="C232" s="129"/>
      <c r="D232" s="129"/>
      <c r="E232" s="129"/>
      <c r="F232" s="142"/>
      <c r="G232" s="142"/>
      <c r="H232" s="141"/>
      <c r="I232" s="141"/>
      <c r="J232" s="141"/>
      <c r="K232" s="141"/>
      <c r="L232" s="141"/>
      <c r="M232" s="141"/>
      <c r="N232" s="141"/>
      <c r="O232" s="141"/>
      <c r="P232" s="141"/>
      <c r="Q232" s="141"/>
      <c r="R232" s="141"/>
      <c r="T232" s="141"/>
    </row>
    <row r="233" spans="1:20">
      <c r="A233" s="140"/>
      <c r="B233" s="129"/>
      <c r="C233" s="129"/>
      <c r="D233" s="129"/>
      <c r="E233" s="129"/>
      <c r="F233" s="142"/>
      <c r="G233" s="142"/>
      <c r="H233" s="141"/>
      <c r="I233" s="141"/>
      <c r="J233" s="141"/>
      <c r="K233" s="141"/>
      <c r="L233" s="141"/>
      <c r="M233" s="141"/>
      <c r="N233" s="141"/>
      <c r="O233" s="141"/>
      <c r="P233" s="141"/>
      <c r="Q233" s="141"/>
      <c r="R233" s="141"/>
      <c r="T233" s="141"/>
    </row>
    <row r="234" spans="1:20">
      <c r="A234" s="140"/>
      <c r="B234" s="129"/>
      <c r="C234" s="129"/>
      <c r="D234" s="129"/>
      <c r="E234" s="129"/>
      <c r="F234" s="142"/>
      <c r="G234" s="142"/>
      <c r="H234" s="141"/>
      <c r="I234" s="141"/>
      <c r="J234" s="141"/>
      <c r="K234" s="141"/>
      <c r="L234" s="141"/>
      <c r="M234" s="141"/>
      <c r="N234" s="141"/>
      <c r="O234" s="141"/>
      <c r="P234" s="141"/>
      <c r="Q234" s="141"/>
      <c r="R234" s="141"/>
      <c r="T234" s="141"/>
    </row>
    <row r="235" spans="1:20">
      <c r="A235" s="140"/>
      <c r="B235" s="129"/>
      <c r="C235" s="129"/>
      <c r="D235" s="129"/>
      <c r="E235" s="129"/>
      <c r="F235" s="142"/>
      <c r="G235" s="142"/>
      <c r="H235" s="141"/>
      <c r="I235" s="141"/>
      <c r="J235" s="141"/>
      <c r="K235" s="141"/>
      <c r="L235" s="141"/>
      <c r="M235" s="141"/>
      <c r="N235" s="141"/>
      <c r="O235" s="141"/>
      <c r="P235" s="141"/>
      <c r="Q235" s="141"/>
      <c r="R235" s="141"/>
      <c r="T235" s="141"/>
    </row>
    <row r="236" spans="1:20">
      <c r="A236" s="140"/>
      <c r="B236" s="129"/>
      <c r="C236" s="129"/>
      <c r="D236" s="129"/>
      <c r="E236" s="129"/>
      <c r="F236" s="142"/>
      <c r="G236" s="142"/>
      <c r="H236" s="141"/>
      <c r="I236" s="141"/>
      <c r="J236" s="141"/>
      <c r="K236" s="141"/>
      <c r="L236" s="141"/>
      <c r="M236" s="141"/>
      <c r="N236" s="141"/>
      <c r="O236" s="141"/>
      <c r="P236" s="141"/>
      <c r="Q236" s="141"/>
      <c r="R236" s="141"/>
      <c r="T236" s="141"/>
    </row>
    <row r="237" spans="1:20">
      <c r="A237" s="140"/>
      <c r="B237" s="129"/>
      <c r="C237" s="129"/>
      <c r="D237" s="129"/>
      <c r="E237" s="129"/>
      <c r="F237" s="142"/>
      <c r="G237" s="142"/>
      <c r="H237" s="141"/>
      <c r="I237" s="141"/>
      <c r="J237" s="141"/>
      <c r="K237" s="141"/>
      <c r="L237" s="141"/>
      <c r="M237" s="141"/>
      <c r="N237" s="141"/>
      <c r="O237" s="141"/>
      <c r="P237" s="141"/>
      <c r="Q237" s="141"/>
      <c r="R237" s="141"/>
      <c r="T237" s="141"/>
    </row>
    <row r="238" spans="1:20">
      <c r="A238" s="140"/>
      <c r="B238" s="129"/>
      <c r="C238" s="129"/>
      <c r="D238" s="129"/>
      <c r="E238" s="129"/>
      <c r="F238" s="142"/>
      <c r="G238" s="142"/>
      <c r="H238" s="141"/>
      <c r="I238" s="141"/>
      <c r="J238" s="141"/>
      <c r="K238" s="141"/>
      <c r="L238" s="141"/>
      <c r="M238" s="141"/>
      <c r="N238" s="141"/>
      <c r="O238" s="141"/>
      <c r="P238" s="141"/>
      <c r="Q238" s="141"/>
      <c r="R238" s="141"/>
      <c r="T238" s="141"/>
    </row>
    <row r="239" spans="1:20">
      <c r="A239" s="140"/>
      <c r="B239" s="129"/>
      <c r="C239" s="129"/>
      <c r="D239" s="129"/>
      <c r="E239" s="129"/>
      <c r="F239" s="142"/>
      <c r="G239" s="142"/>
      <c r="H239" s="141"/>
      <c r="I239" s="141"/>
      <c r="J239" s="141"/>
      <c r="K239" s="141"/>
      <c r="L239" s="141"/>
      <c r="M239" s="141"/>
      <c r="N239" s="141"/>
      <c r="O239" s="141"/>
      <c r="P239" s="141"/>
      <c r="Q239" s="141"/>
      <c r="R239" s="141"/>
      <c r="T239" s="141"/>
    </row>
    <row r="240" spans="1:20">
      <c r="A240" s="140"/>
      <c r="B240" s="129"/>
      <c r="C240" s="129"/>
      <c r="D240" s="129"/>
      <c r="E240" s="129"/>
      <c r="F240" s="142"/>
      <c r="G240" s="142"/>
      <c r="H240" s="141"/>
      <c r="I240" s="141"/>
      <c r="J240" s="141"/>
      <c r="K240" s="141"/>
      <c r="L240" s="141"/>
      <c r="M240" s="141"/>
      <c r="N240" s="141"/>
      <c r="O240" s="141"/>
      <c r="P240" s="141"/>
      <c r="Q240" s="141"/>
      <c r="R240" s="141"/>
      <c r="T240" s="141"/>
    </row>
    <row r="241" spans="1:20">
      <c r="A241" s="140"/>
      <c r="B241" s="129"/>
      <c r="C241" s="129"/>
      <c r="D241" s="129"/>
      <c r="E241" s="129"/>
      <c r="F241" s="142"/>
      <c r="G241" s="142"/>
      <c r="H241" s="141"/>
      <c r="I241" s="141"/>
      <c r="J241" s="141"/>
      <c r="K241" s="141"/>
      <c r="L241" s="141"/>
      <c r="M241" s="141"/>
      <c r="N241" s="141"/>
      <c r="O241" s="141"/>
      <c r="P241" s="141"/>
      <c r="Q241" s="141"/>
      <c r="R241" s="141"/>
      <c r="T241" s="141"/>
    </row>
    <row r="242" spans="1:20">
      <c r="A242" s="140"/>
      <c r="B242" s="129"/>
      <c r="C242" s="129"/>
      <c r="D242" s="129"/>
      <c r="E242" s="129"/>
      <c r="F242" s="142"/>
      <c r="G242" s="142"/>
      <c r="H242" s="141"/>
      <c r="I242" s="141"/>
      <c r="J242" s="141"/>
      <c r="K242" s="141"/>
      <c r="L242" s="141"/>
      <c r="M242" s="141"/>
      <c r="N242" s="141"/>
      <c r="O242" s="141"/>
      <c r="P242" s="141"/>
      <c r="Q242" s="141"/>
      <c r="R242" s="141"/>
      <c r="T242" s="141"/>
    </row>
    <row r="243" spans="1:20">
      <c r="A243" s="140"/>
      <c r="B243" s="129"/>
      <c r="C243" s="129"/>
      <c r="D243" s="129"/>
      <c r="E243" s="129"/>
      <c r="F243" s="142"/>
      <c r="G243" s="142"/>
      <c r="H243" s="141"/>
      <c r="I243" s="141"/>
      <c r="J243" s="141"/>
      <c r="K243" s="141"/>
      <c r="L243" s="141"/>
      <c r="M243" s="141"/>
      <c r="N243" s="141"/>
      <c r="O243" s="141"/>
      <c r="P243" s="141"/>
      <c r="Q243" s="141"/>
      <c r="R243" s="141"/>
      <c r="T243" s="141"/>
    </row>
    <row r="244" spans="1:20">
      <c r="A244" s="140"/>
      <c r="B244" s="129"/>
      <c r="C244" s="129"/>
      <c r="D244" s="129"/>
      <c r="E244" s="129"/>
      <c r="F244" s="142"/>
      <c r="G244" s="142"/>
      <c r="H244" s="141"/>
      <c r="I244" s="141"/>
      <c r="J244" s="141"/>
      <c r="K244" s="141"/>
      <c r="L244" s="141"/>
      <c r="M244" s="141"/>
      <c r="N244" s="141"/>
      <c r="O244" s="141"/>
      <c r="P244" s="141"/>
      <c r="Q244" s="141"/>
      <c r="R244" s="141"/>
      <c r="T244" s="141"/>
    </row>
    <row r="245" spans="1:20">
      <c r="A245" s="140"/>
      <c r="B245" s="129"/>
      <c r="C245" s="129"/>
      <c r="D245" s="129"/>
      <c r="E245" s="129"/>
      <c r="F245" s="142"/>
      <c r="G245" s="142"/>
      <c r="H245" s="141"/>
      <c r="I245" s="141"/>
      <c r="J245" s="141"/>
      <c r="K245" s="141"/>
      <c r="L245" s="141"/>
      <c r="M245" s="141"/>
      <c r="N245" s="141"/>
      <c r="O245" s="141"/>
      <c r="P245" s="141"/>
      <c r="Q245" s="141"/>
      <c r="R245" s="141"/>
      <c r="T245" s="141"/>
    </row>
    <row r="246" spans="1:20">
      <c r="A246" s="140"/>
      <c r="B246" s="129"/>
      <c r="C246" s="129"/>
      <c r="D246" s="129"/>
      <c r="E246" s="129"/>
      <c r="F246" s="142"/>
      <c r="G246" s="142"/>
      <c r="H246" s="141"/>
      <c r="I246" s="141"/>
      <c r="J246" s="141"/>
      <c r="K246" s="141"/>
      <c r="L246" s="141"/>
      <c r="M246" s="141"/>
      <c r="N246" s="141"/>
      <c r="O246" s="141"/>
      <c r="P246" s="141"/>
      <c r="Q246" s="141"/>
      <c r="R246" s="141"/>
      <c r="T246" s="141"/>
    </row>
    <row r="247" spans="1:20">
      <c r="A247" s="140"/>
      <c r="B247" s="129"/>
      <c r="C247" s="129"/>
      <c r="D247" s="129"/>
      <c r="E247" s="129"/>
      <c r="F247" s="142"/>
      <c r="G247" s="142"/>
      <c r="H247" s="141"/>
      <c r="I247" s="141"/>
      <c r="J247" s="141"/>
      <c r="K247" s="141"/>
      <c r="L247" s="141"/>
      <c r="M247" s="141"/>
      <c r="N247" s="141"/>
      <c r="O247" s="141"/>
      <c r="P247" s="141"/>
      <c r="Q247" s="141"/>
      <c r="R247" s="141"/>
      <c r="T247" s="141"/>
    </row>
    <row r="248" spans="1:20">
      <c r="A248" s="140"/>
      <c r="B248" s="129"/>
      <c r="C248" s="129"/>
      <c r="D248" s="129"/>
      <c r="E248" s="129"/>
      <c r="F248" s="142"/>
      <c r="G248" s="142"/>
      <c r="H248" s="141"/>
      <c r="I248" s="141"/>
      <c r="J248" s="141"/>
      <c r="K248" s="141"/>
      <c r="L248" s="141"/>
      <c r="M248" s="141"/>
      <c r="N248" s="141"/>
      <c r="O248" s="141"/>
      <c r="P248" s="141"/>
      <c r="Q248" s="141"/>
      <c r="R248" s="141"/>
      <c r="T248" s="141"/>
    </row>
    <row r="249" spans="1:20">
      <c r="A249" s="140"/>
      <c r="B249" s="129"/>
      <c r="C249" s="129"/>
      <c r="D249" s="129"/>
      <c r="E249" s="129"/>
      <c r="F249" s="142"/>
      <c r="G249" s="142"/>
      <c r="H249" s="141"/>
      <c r="I249" s="141"/>
      <c r="J249" s="141"/>
      <c r="K249" s="141"/>
      <c r="L249" s="141"/>
      <c r="M249" s="141"/>
      <c r="N249" s="141"/>
      <c r="O249" s="141"/>
      <c r="P249" s="141"/>
      <c r="Q249" s="141"/>
      <c r="R249" s="141"/>
      <c r="T249" s="141"/>
    </row>
    <row r="250" spans="1:20">
      <c r="A250" s="140"/>
      <c r="B250" s="129"/>
      <c r="C250" s="129"/>
      <c r="D250" s="129"/>
      <c r="E250" s="129"/>
      <c r="F250" s="142"/>
      <c r="G250" s="142"/>
      <c r="H250" s="141"/>
      <c r="I250" s="141"/>
      <c r="J250" s="141"/>
      <c r="K250" s="141"/>
      <c r="L250" s="141"/>
      <c r="M250" s="141"/>
      <c r="N250" s="141"/>
      <c r="O250" s="141"/>
      <c r="P250" s="141"/>
      <c r="Q250" s="141"/>
      <c r="R250" s="141"/>
      <c r="T250" s="141"/>
    </row>
    <row r="251" spans="1:20">
      <c r="A251" s="140"/>
      <c r="B251" s="129"/>
      <c r="C251" s="129"/>
      <c r="D251" s="129"/>
      <c r="E251" s="129"/>
      <c r="F251" s="142"/>
      <c r="G251" s="142"/>
      <c r="H251" s="141"/>
      <c r="I251" s="141"/>
      <c r="J251" s="141"/>
      <c r="K251" s="141"/>
      <c r="L251" s="141"/>
      <c r="M251" s="141"/>
      <c r="N251" s="141"/>
      <c r="O251" s="141"/>
      <c r="P251" s="141"/>
      <c r="Q251" s="141"/>
      <c r="R251" s="141"/>
      <c r="T251" s="141"/>
    </row>
    <row r="252" spans="1:20">
      <c r="A252" s="140"/>
      <c r="B252" s="129"/>
      <c r="C252" s="129"/>
      <c r="D252" s="129"/>
      <c r="E252" s="129"/>
      <c r="F252" s="142"/>
      <c r="G252" s="142"/>
      <c r="H252" s="141"/>
      <c r="I252" s="141"/>
      <c r="J252" s="141"/>
      <c r="K252" s="141"/>
      <c r="L252" s="141"/>
      <c r="M252" s="141"/>
      <c r="N252" s="141"/>
      <c r="O252" s="141"/>
      <c r="P252" s="141"/>
      <c r="Q252" s="141"/>
      <c r="R252" s="141"/>
      <c r="T252" s="141"/>
    </row>
    <row r="253" spans="1:20">
      <c r="A253" s="140"/>
      <c r="B253" s="129"/>
      <c r="C253" s="129"/>
      <c r="D253" s="129"/>
      <c r="E253" s="129"/>
      <c r="F253" s="142"/>
      <c r="G253" s="142"/>
      <c r="H253" s="141"/>
      <c r="I253" s="141"/>
      <c r="J253" s="141"/>
      <c r="K253" s="141"/>
      <c r="L253" s="141"/>
      <c r="M253" s="141"/>
      <c r="N253" s="141"/>
      <c r="O253" s="141"/>
      <c r="P253" s="141"/>
      <c r="Q253" s="141"/>
      <c r="R253" s="141"/>
      <c r="T253" s="141"/>
    </row>
    <row r="254" spans="1:20">
      <c r="A254" s="140"/>
      <c r="B254" s="129"/>
      <c r="C254" s="129"/>
      <c r="D254" s="129"/>
      <c r="E254" s="129"/>
      <c r="F254" s="142"/>
      <c r="G254" s="142"/>
      <c r="H254" s="141"/>
      <c r="I254" s="141"/>
      <c r="J254" s="141"/>
      <c r="K254" s="141"/>
      <c r="L254" s="141"/>
      <c r="M254" s="141"/>
      <c r="N254" s="141"/>
      <c r="O254" s="141"/>
      <c r="P254" s="141"/>
      <c r="Q254" s="141"/>
      <c r="R254" s="141"/>
      <c r="T254" s="141"/>
    </row>
    <row r="255" spans="1:20">
      <c r="A255" s="140"/>
      <c r="B255" s="129"/>
      <c r="C255" s="129"/>
      <c r="D255" s="129"/>
      <c r="E255" s="129"/>
      <c r="F255" s="142"/>
      <c r="G255" s="142"/>
      <c r="H255" s="141"/>
      <c r="I255" s="141"/>
      <c r="J255" s="141"/>
      <c r="K255" s="141"/>
      <c r="L255" s="141"/>
      <c r="M255" s="141"/>
      <c r="N255" s="141"/>
      <c r="O255" s="141"/>
      <c r="P255" s="141"/>
      <c r="Q255" s="141"/>
      <c r="R255" s="141"/>
      <c r="T255" s="141"/>
    </row>
    <row r="256" spans="1:20">
      <c r="A256" s="140"/>
      <c r="B256" s="129"/>
      <c r="C256" s="129"/>
      <c r="D256" s="129"/>
      <c r="E256" s="129"/>
      <c r="F256" s="142"/>
      <c r="G256" s="142"/>
      <c r="H256" s="141"/>
      <c r="I256" s="141"/>
      <c r="J256" s="141"/>
      <c r="K256" s="141"/>
      <c r="L256" s="141"/>
      <c r="M256" s="141"/>
      <c r="N256" s="141"/>
      <c r="O256" s="141"/>
      <c r="P256" s="141"/>
      <c r="Q256" s="141"/>
      <c r="R256" s="141"/>
      <c r="T256" s="141"/>
    </row>
    <row r="257" spans="1:20">
      <c r="A257" s="140"/>
      <c r="B257" s="129"/>
      <c r="C257" s="129"/>
      <c r="D257" s="129"/>
      <c r="E257" s="129"/>
      <c r="F257" s="142"/>
      <c r="G257" s="142"/>
      <c r="H257" s="141"/>
      <c r="I257" s="141"/>
      <c r="J257" s="141"/>
      <c r="K257" s="141"/>
      <c r="L257" s="141"/>
      <c r="M257" s="141"/>
      <c r="N257" s="141"/>
      <c r="O257" s="141"/>
      <c r="P257" s="141"/>
      <c r="Q257" s="141"/>
      <c r="R257" s="141"/>
      <c r="T257" s="141"/>
    </row>
    <row r="258" spans="1:20">
      <c r="A258" s="140"/>
      <c r="B258" s="129"/>
      <c r="C258" s="129"/>
      <c r="D258" s="129"/>
      <c r="E258" s="129"/>
      <c r="F258" s="142"/>
      <c r="G258" s="142"/>
      <c r="H258" s="141"/>
      <c r="I258" s="141"/>
      <c r="J258" s="141"/>
      <c r="K258" s="141"/>
      <c r="L258" s="141"/>
      <c r="M258" s="141"/>
      <c r="N258" s="141"/>
      <c r="O258" s="141"/>
      <c r="P258" s="141"/>
      <c r="Q258" s="141"/>
      <c r="R258" s="141"/>
      <c r="T258" s="141"/>
    </row>
    <row r="259" spans="1:20">
      <c r="A259" s="140"/>
      <c r="B259" s="129"/>
      <c r="C259" s="129"/>
      <c r="D259" s="129"/>
      <c r="E259" s="129"/>
      <c r="F259" s="142"/>
      <c r="G259" s="142"/>
      <c r="H259" s="141"/>
      <c r="I259" s="141"/>
      <c r="J259" s="141"/>
      <c r="K259" s="141"/>
      <c r="L259" s="141"/>
      <c r="M259" s="141"/>
      <c r="N259" s="141"/>
      <c r="O259" s="141"/>
      <c r="P259" s="141"/>
      <c r="Q259" s="141"/>
      <c r="R259" s="141"/>
      <c r="T259" s="141"/>
    </row>
    <row r="260" spans="1:20">
      <c r="A260" s="140"/>
      <c r="B260" s="129"/>
      <c r="C260" s="129"/>
      <c r="D260" s="129"/>
      <c r="E260" s="129"/>
      <c r="F260" s="142"/>
      <c r="G260" s="142"/>
      <c r="H260" s="141"/>
      <c r="I260" s="141"/>
      <c r="J260" s="141"/>
      <c r="K260" s="141"/>
      <c r="L260" s="141"/>
      <c r="M260" s="141"/>
      <c r="N260" s="141"/>
      <c r="O260" s="141"/>
      <c r="P260" s="141"/>
      <c r="Q260" s="141"/>
      <c r="R260" s="141"/>
      <c r="T260" s="141"/>
    </row>
    <row r="261" spans="1:20">
      <c r="A261" s="140"/>
      <c r="B261" s="129"/>
      <c r="C261" s="129"/>
      <c r="D261" s="129"/>
      <c r="E261" s="129"/>
      <c r="F261" s="142"/>
      <c r="G261" s="142"/>
      <c r="H261" s="141"/>
      <c r="I261" s="141"/>
      <c r="J261" s="141"/>
      <c r="K261" s="141"/>
      <c r="L261" s="141"/>
      <c r="M261" s="141"/>
      <c r="N261" s="141"/>
      <c r="O261" s="141"/>
      <c r="P261" s="141"/>
      <c r="Q261" s="141"/>
      <c r="R261" s="141"/>
      <c r="T261" s="141"/>
    </row>
    <row r="262" spans="1:20">
      <c r="A262" s="140"/>
      <c r="B262" s="129"/>
      <c r="C262" s="129"/>
      <c r="D262" s="129"/>
      <c r="E262" s="129"/>
      <c r="F262" s="142"/>
      <c r="G262" s="142"/>
      <c r="H262" s="141"/>
      <c r="I262" s="141"/>
      <c r="J262" s="141"/>
      <c r="K262" s="141"/>
      <c r="L262" s="141"/>
      <c r="M262" s="141"/>
      <c r="N262" s="141"/>
      <c r="O262" s="141"/>
      <c r="P262" s="141"/>
      <c r="Q262" s="141"/>
      <c r="R262" s="141"/>
      <c r="T262" s="141"/>
    </row>
    <row r="263" spans="1:20">
      <c r="A263" s="140"/>
      <c r="B263" s="129"/>
      <c r="C263" s="129"/>
      <c r="D263" s="129"/>
      <c r="E263" s="129"/>
      <c r="F263" s="142"/>
      <c r="G263" s="142"/>
      <c r="H263" s="141"/>
      <c r="I263" s="141"/>
      <c r="J263" s="141"/>
      <c r="K263" s="141"/>
      <c r="L263" s="141"/>
      <c r="M263" s="141"/>
      <c r="N263" s="141"/>
      <c r="O263" s="141"/>
      <c r="P263" s="141"/>
      <c r="Q263" s="141"/>
      <c r="R263" s="141"/>
      <c r="T263" s="141"/>
    </row>
    <row r="264" spans="1:20">
      <c r="A264" s="140"/>
      <c r="B264" s="129"/>
      <c r="C264" s="129"/>
      <c r="D264" s="129"/>
      <c r="E264" s="129"/>
      <c r="F264" s="142"/>
      <c r="G264" s="142"/>
      <c r="H264" s="141"/>
      <c r="I264" s="141"/>
      <c r="J264" s="141"/>
      <c r="K264" s="141"/>
      <c r="L264" s="141"/>
      <c r="M264" s="141"/>
      <c r="N264" s="141"/>
      <c r="O264" s="141"/>
      <c r="P264" s="141"/>
      <c r="Q264" s="141"/>
      <c r="R264" s="141"/>
      <c r="T264" s="141"/>
    </row>
    <row r="265" spans="1:20">
      <c r="A265" s="140"/>
      <c r="B265" s="129"/>
      <c r="C265" s="129"/>
      <c r="D265" s="129"/>
      <c r="E265" s="129"/>
      <c r="F265" s="142"/>
      <c r="G265" s="142"/>
      <c r="H265" s="141"/>
      <c r="I265" s="141"/>
      <c r="J265" s="141"/>
      <c r="K265" s="141"/>
      <c r="L265" s="141"/>
      <c r="M265" s="141"/>
      <c r="N265" s="141"/>
      <c r="O265" s="141"/>
      <c r="P265" s="141"/>
      <c r="Q265" s="141"/>
      <c r="R265" s="141"/>
      <c r="T265" s="141"/>
    </row>
    <row r="266" spans="1:20">
      <c r="A266" s="140"/>
      <c r="B266" s="129"/>
      <c r="C266" s="129"/>
      <c r="D266" s="129"/>
      <c r="E266" s="129"/>
      <c r="F266" s="142"/>
      <c r="G266" s="142"/>
      <c r="H266" s="141"/>
      <c r="I266" s="141"/>
      <c r="J266" s="141"/>
      <c r="K266" s="141"/>
      <c r="L266" s="141"/>
      <c r="M266" s="141"/>
      <c r="N266" s="141"/>
      <c r="O266" s="141"/>
      <c r="P266" s="141"/>
      <c r="Q266" s="141"/>
      <c r="R266" s="141"/>
      <c r="T266" s="141"/>
    </row>
    <row r="267" spans="1:20">
      <c r="A267" s="140"/>
      <c r="B267" s="129"/>
      <c r="C267" s="129"/>
      <c r="D267" s="129"/>
      <c r="E267" s="129"/>
      <c r="F267" s="142"/>
      <c r="G267" s="142"/>
      <c r="H267" s="141"/>
      <c r="I267" s="141"/>
      <c r="J267" s="141"/>
      <c r="K267" s="141"/>
      <c r="L267" s="141"/>
      <c r="M267" s="141"/>
      <c r="N267" s="141"/>
      <c r="O267" s="141"/>
      <c r="P267" s="141"/>
      <c r="Q267" s="141"/>
      <c r="R267" s="141"/>
      <c r="T267" s="141"/>
    </row>
    <row r="268" spans="1:20">
      <c r="A268" s="140"/>
      <c r="B268" s="129"/>
      <c r="C268" s="129"/>
      <c r="D268" s="129"/>
      <c r="E268" s="129"/>
      <c r="F268" s="142"/>
      <c r="G268" s="142"/>
      <c r="H268" s="141"/>
      <c r="I268" s="141"/>
      <c r="J268" s="141"/>
      <c r="K268" s="141"/>
      <c r="L268" s="141"/>
      <c r="M268" s="141"/>
      <c r="N268" s="141"/>
      <c r="O268" s="141"/>
      <c r="P268" s="141"/>
      <c r="Q268" s="141"/>
      <c r="R268" s="141"/>
      <c r="T268" s="141"/>
    </row>
    <row r="269" spans="1:20">
      <c r="A269" s="140"/>
      <c r="B269" s="129"/>
      <c r="C269" s="129"/>
      <c r="D269" s="129"/>
      <c r="E269" s="129"/>
      <c r="F269" s="142"/>
      <c r="G269" s="142"/>
      <c r="H269" s="141"/>
      <c r="I269" s="141"/>
      <c r="J269" s="141"/>
      <c r="K269" s="141"/>
      <c r="L269" s="141"/>
      <c r="M269" s="141"/>
      <c r="N269" s="141"/>
      <c r="O269" s="141"/>
      <c r="P269" s="141"/>
      <c r="Q269" s="141"/>
      <c r="R269" s="141"/>
      <c r="T269" s="141"/>
    </row>
    <row r="270" spans="1:20">
      <c r="A270" s="140"/>
      <c r="B270" s="129"/>
      <c r="C270" s="129"/>
      <c r="D270" s="129"/>
      <c r="E270" s="129"/>
      <c r="F270" s="142"/>
      <c r="G270" s="142"/>
      <c r="H270" s="141"/>
      <c r="I270" s="141"/>
      <c r="J270" s="141"/>
      <c r="K270" s="141"/>
      <c r="L270" s="141"/>
      <c r="M270" s="141"/>
      <c r="N270" s="141"/>
      <c r="O270" s="141"/>
      <c r="P270" s="141"/>
      <c r="Q270" s="141"/>
      <c r="R270" s="141"/>
      <c r="T270" s="141"/>
    </row>
    <row r="271" spans="1:20">
      <c r="A271" s="140"/>
      <c r="B271" s="129"/>
      <c r="C271" s="129"/>
      <c r="D271" s="129"/>
      <c r="E271" s="129"/>
      <c r="F271" s="142"/>
      <c r="G271" s="142"/>
      <c r="H271" s="141"/>
      <c r="I271" s="141"/>
      <c r="J271" s="141"/>
      <c r="K271" s="141"/>
      <c r="L271" s="141"/>
      <c r="M271" s="141"/>
      <c r="N271" s="141"/>
      <c r="O271" s="141"/>
      <c r="P271" s="141"/>
      <c r="Q271" s="141"/>
      <c r="R271" s="141"/>
      <c r="T271" s="141"/>
    </row>
    <row r="272" spans="1:20">
      <c r="A272" s="140"/>
      <c r="B272" s="129"/>
      <c r="C272" s="129"/>
      <c r="D272" s="129"/>
      <c r="E272" s="129"/>
      <c r="F272" s="142"/>
      <c r="G272" s="142"/>
      <c r="H272" s="141"/>
      <c r="I272" s="141"/>
      <c r="J272" s="141"/>
      <c r="K272" s="141"/>
      <c r="L272" s="141"/>
      <c r="M272" s="141"/>
      <c r="N272" s="141"/>
      <c r="O272" s="141"/>
      <c r="P272" s="141"/>
      <c r="Q272" s="141"/>
      <c r="R272" s="141"/>
      <c r="T272" s="141"/>
    </row>
    <row r="273" spans="1:20">
      <c r="A273" s="140"/>
      <c r="B273" s="129"/>
      <c r="C273" s="129"/>
      <c r="D273" s="129"/>
      <c r="E273" s="129"/>
      <c r="F273" s="142"/>
      <c r="G273" s="142"/>
      <c r="H273" s="141"/>
      <c r="I273" s="141"/>
      <c r="J273" s="141"/>
      <c r="K273" s="141"/>
      <c r="L273" s="141"/>
      <c r="M273" s="141"/>
      <c r="N273" s="141"/>
      <c r="O273" s="141"/>
      <c r="P273" s="141"/>
      <c r="Q273" s="141"/>
      <c r="R273" s="141"/>
      <c r="T273" s="141"/>
    </row>
    <row r="274" spans="1:20">
      <c r="A274" s="140"/>
      <c r="B274" s="129"/>
      <c r="C274" s="129"/>
      <c r="D274" s="129"/>
      <c r="E274" s="129"/>
      <c r="F274" s="142"/>
      <c r="G274" s="142"/>
      <c r="H274" s="141"/>
      <c r="I274" s="141"/>
      <c r="J274" s="141"/>
      <c r="K274" s="141"/>
      <c r="L274" s="141"/>
      <c r="M274" s="141"/>
      <c r="N274" s="141"/>
      <c r="O274" s="141"/>
      <c r="P274" s="141"/>
      <c r="Q274" s="141"/>
      <c r="R274" s="141"/>
      <c r="T274" s="141"/>
    </row>
    <row r="275" spans="1:20">
      <c r="A275" s="140"/>
      <c r="B275" s="129"/>
      <c r="C275" s="129"/>
      <c r="D275" s="129"/>
      <c r="E275" s="129"/>
      <c r="F275" s="142"/>
      <c r="G275" s="142"/>
      <c r="H275" s="141"/>
      <c r="I275" s="141"/>
      <c r="J275" s="141"/>
      <c r="K275" s="141"/>
      <c r="L275" s="141"/>
      <c r="M275" s="141"/>
      <c r="N275" s="141"/>
      <c r="O275" s="141"/>
      <c r="P275" s="141"/>
      <c r="Q275" s="141"/>
      <c r="R275" s="141"/>
      <c r="T275" s="141"/>
    </row>
    <row r="276" spans="1:20">
      <c r="A276" s="140"/>
      <c r="B276" s="129"/>
      <c r="C276" s="129"/>
      <c r="D276" s="129"/>
      <c r="E276" s="129"/>
      <c r="F276" s="142"/>
      <c r="G276" s="142"/>
      <c r="H276" s="141"/>
      <c r="I276" s="141"/>
      <c r="J276" s="141"/>
      <c r="K276" s="141"/>
      <c r="L276" s="141"/>
      <c r="M276" s="141"/>
      <c r="N276" s="141"/>
      <c r="O276" s="141"/>
      <c r="P276" s="141"/>
      <c r="Q276" s="141"/>
      <c r="R276" s="141"/>
      <c r="T276" s="141"/>
    </row>
    <row r="277" spans="1:20">
      <c r="A277" s="140"/>
      <c r="B277" s="129"/>
      <c r="C277" s="129"/>
      <c r="D277" s="129"/>
      <c r="E277" s="129"/>
      <c r="F277" s="142"/>
      <c r="G277" s="142"/>
      <c r="H277" s="141"/>
      <c r="I277" s="141"/>
      <c r="J277" s="141"/>
      <c r="K277" s="141"/>
      <c r="L277" s="141"/>
      <c r="M277" s="141"/>
      <c r="N277" s="141"/>
      <c r="O277" s="141"/>
      <c r="P277" s="141"/>
      <c r="Q277" s="141"/>
      <c r="R277" s="141"/>
      <c r="T277" s="141"/>
    </row>
    <row r="278" spans="1:20">
      <c r="A278" s="140"/>
      <c r="B278" s="129"/>
      <c r="C278" s="129"/>
      <c r="D278" s="129"/>
      <c r="E278" s="129"/>
      <c r="F278" s="142"/>
      <c r="G278" s="142"/>
      <c r="H278" s="141"/>
      <c r="I278" s="141"/>
      <c r="J278" s="141"/>
      <c r="K278" s="141"/>
      <c r="L278" s="141"/>
      <c r="M278" s="141"/>
      <c r="N278" s="141"/>
      <c r="O278" s="141"/>
      <c r="P278" s="141"/>
      <c r="Q278" s="141"/>
      <c r="R278" s="141"/>
      <c r="T278" s="141"/>
    </row>
    <row r="279" spans="1:20">
      <c r="A279" s="140"/>
      <c r="B279" s="129"/>
      <c r="C279" s="129"/>
      <c r="D279" s="129"/>
      <c r="E279" s="129"/>
      <c r="F279" s="142"/>
      <c r="G279" s="142"/>
      <c r="H279" s="141"/>
      <c r="I279" s="141"/>
      <c r="J279" s="141"/>
      <c r="K279" s="141"/>
      <c r="L279" s="141"/>
      <c r="M279" s="141"/>
      <c r="N279" s="141"/>
      <c r="O279" s="141"/>
      <c r="P279" s="141"/>
      <c r="Q279" s="141"/>
      <c r="R279" s="141"/>
      <c r="T279" s="141"/>
    </row>
    <row r="280" spans="1:20">
      <c r="A280" s="140"/>
      <c r="B280" s="129"/>
      <c r="C280" s="129"/>
      <c r="D280" s="129"/>
      <c r="E280" s="129"/>
      <c r="F280" s="142"/>
      <c r="G280" s="142"/>
      <c r="H280" s="141"/>
      <c r="I280" s="141"/>
      <c r="J280" s="141"/>
      <c r="K280" s="141"/>
      <c r="L280" s="141"/>
      <c r="M280" s="141"/>
      <c r="N280" s="141"/>
      <c r="O280" s="141"/>
      <c r="P280" s="141"/>
      <c r="Q280" s="141"/>
      <c r="R280" s="141"/>
      <c r="T280" s="141"/>
    </row>
    <row r="281" spans="1:20">
      <c r="A281" s="140"/>
      <c r="B281" s="129"/>
      <c r="C281" s="129"/>
      <c r="D281" s="129"/>
      <c r="E281" s="129"/>
      <c r="F281" s="142"/>
      <c r="G281" s="142"/>
      <c r="H281" s="141"/>
      <c r="I281" s="141"/>
      <c r="J281" s="141"/>
      <c r="K281" s="141"/>
      <c r="L281" s="141"/>
      <c r="M281" s="141"/>
      <c r="N281" s="141"/>
      <c r="O281" s="141"/>
      <c r="P281" s="141"/>
      <c r="Q281" s="141"/>
      <c r="R281" s="141"/>
      <c r="T281" s="141"/>
    </row>
    <row r="282" spans="1:20">
      <c r="A282" s="140"/>
      <c r="B282" s="129"/>
      <c r="C282" s="129"/>
      <c r="D282" s="129"/>
      <c r="E282" s="129"/>
      <c r="F282" s="142"/>
      <c r="G282" s="142"/>
      <c r="H282" s="141"/>
      <c r="I282" s="141"/>
      <c r="J282" s="141"/>
      <c r="K282" s="141"/>
      <c r="L282" s="141"/>
      <c r="M282" s="141"/>
      <c r="N282" s="141"/>
      <c r="O282" s="141"/>
      <c r="P282" s="141"/>
      <c r="Q282" s="141"/>
      <c r="R282" s="141"/>
      <c r="T282" s="141"/>
    </row>
    <row r="283" spans="1:20">
      <c r="A283" s="140"/>
      <c r="B283" s="129"/>
      <c r="C283" s="129"/>
      <c r="D283" s="129"/>
      <c r="E283" s="129"/>
      <c r="F283" s="142"/>
      <c r="G283" s="142"/>
      <c r="H283" s="141"/>
      <c r="I283" s="141"/>
      <c r="J283" s="141"/>
      <c r="K283" s="141"/>
      <c r="L283" s="141"/>
      <c r="M283" s="141"/>
      <c r="N283" s="141"/>
      <c r="O283" s="141"/>
      <c r="P283" s="141"/>
      <c r="Q283" s="141"/>
      <c r="R283" s="141"/>
      <c r="T283" s="141"/>
    </row>
    <row r="284" spans="1:20">
      <c r="A284" s="140"/>
      <c r="B284" s="129"/>
      <c r="C284" s="129"/>
      <c r="D284" s="129"/>
      <c r="E284" s="129"/>
      <c r="F284" s="142"/>
      <c r="G284" s="142"/>
      <c r="H284" s="141"/>
      <c r="I284" s="141"/>
      <c r="J284" s="141"/>
      <c r="K284" s="141"/>
      <c r="L284" s="141"/>
      <c r="M284" s="141"/>
      <c r="N284" s="141"/>
      <c r="O284" s="141"/>
      <c r="P284" s="141"/>
      <c r="Q284" s="141"/>
      <c r="R284" s="141"/>
      <c r="T284" s="141"/>
    </row>
    <row r="285" spans="1:20">
      <c r="A285" s="140"/>
      <c r="B285" s="129"/>
      <c r="C285" s="129"/>
      <c r="D285" s="129"/>
      <c r="E285" s="129"/>
      <c r="F285" s="142"/>
      <c r="G285" s="142"/>
      <c r="H285" s="141"/>
      <c r="I285" s="141"/>
      <c r="J285" s="141"/>
      <c r="K285" s="141"/>
      <c r="L285" s="141"/>
      <c r="M285" s="141"/>
      <c r="N285" s="141"/>
      <c r="O285" s="141"/>
      <c r="P285" s="141"/>
      <c r="Q285" s="141"/>
      <c r="R285" s="141"/>
      <c r="T285" s="141"/>
    </row>
    <row r="286" spans="1:20">
      <c r="A286" s="140"/>
      <c r="B286" s="129"/>
      <c r="C286" s="129"/>
      <c r="D286" s="129"/>
      <c r="E286" s="129"/>
      <c r="F286" s="142"/>
      <c r="G286" s="142"/>
      <c r="H286" s="141"/>
      <c r="I286" s="141"/>
      <c r="J286" s="141"/>
      <c r="K286" s="141"/>
      <c r="L286" s="141"/>
      <c r="M286" s="141"/>
      <c r="N286" s="141"/>
      <c r="O286" s="141"/>
      <c r="P286" s="141"/>
      <c r="Q286" s="141"/>
      <c r="R286" s="141"/>
      <c r="T286" s="141"/>
    </row>
    <row r="287" spans="1:20">
      <c r="A287" s="140"/>
      <c r="B287" s="129"/>
      <c r="C287" s="129"/>
      <c r="D287" s="129"/>
      <c r="E287" s="129"/>
      <c r="F287" s="142"/>
      <c r="G287" s="142"/>
      <c r="H287" s="141"/>
      <c r="I287" s="141"/>
      <c r="J287" s="141"/>
      <c r="K287" s="141"/>
      <c r="L287" s="141"/>
      <c r="M287" s="141"/>
      <c r="N287" s="141"/>
      <c r="O287" s="141"/>
      <c r="P287" s="141"/>
      <c r="Q287" s="141"/>
      <c r="R287" s="141"/>
      <c r="T287" s="141"/>
    </row>
    <row r="288" spans="1:20">
      <c r="A288" s="140"/>
      <c r="B288" s="129"/>
      <c r="C288" s="129"/>
      <c r="D288" s="129"/>
      <c r="E288" s="129"/>
      <c r="F288" s="142"/>
      <c r="G288" s="142"/>
      <c r="H288" s="141"/>
      <c r="I288" s="141"/>
      <c r="J288" s="141"/>
      <c r="K288" s="141"/>
      <c r="L288" s="141"/>
      <c r="M288" s="141"/>
      <c r="N288" s="141"/>
      <c r="O288" s="141"/>
      <c r="P288" s="141"/>
      <c r="Q288" s="141"/>
      <c r="R288" s="141"/>
      <c r="T288" s="141"/>
    </row>
    <row r="289" spans="1:20">
      <c r="A289" s="140"/>
      <c r="B289" s="129"/>
      <c r="C289" s="129"/>
      <c r="D289" s="129"/>
      <c r="E289" s="129"/>
      <c r="F289" s="142"/>
      <c r="G289" s="142"/>
      <c r="H289" s="141"/>
      <c r="I289" s="141"/>
      <c r="J289" s="141"/>
      <c r="K289" s="141"/>
      <c r="L289" s="141"/>
      <c r="M289" s="141"/>
      <c r="N289" s="141"/>
      <c r="O289" s="141"/>
      <c r="P289" s="141"/>
      <c r="Q289" s="141"/>
      <c r="R289" s="141"/>
      <c r="T289" s="141"/>
    </row>
    <row r="290" spans="1:20">
      <c r="A290" s="140"/>
      <c r="B290" s="129"/>
      <c r="C290" s="129"/>
      <c r="D290" s="129"/>
      <c r="E290" s="129"/>
      <c r="F290" s="142"/>
      <c r="G290" s="142"/>
      <c r="H290" s="141"/>
      <c r="I290" s="141"/>
      <c r="J290" s="141"/>
      <c r="K290" s="141"/>
      <c r="L290" s="141"/>
      <c r="M290" s="141"/>
      <c r="N290" s="141"/>
      <c r="O290" s="141"/>
      <c r="P290" s="141"/>
      <c r="Q290" s="141"/>
      <c r="R290" s="141"/>
      <c r="T290" s="141"/>
    </row>
    <row r="291" spans="1:20">
      <c r="A291" s="140"/>
      <c r="B291" s="129"/>
      <c r="C291" s="129"/>
      <c r="D291" s="129"/>
      <c r="E291" s="129"/>
      <c r="F291" s="142"/>
      <c r="G291" s="142"/>
      <c r="H291" s="141"/>
      <c r="I291" s="141"/>
      <c r="J291" s="141"/>
      <c r="K291" s="141"/>
      <c r="L291" s="141"/>
      <c r="M291" s="141"/>
      <c r="N291" s="141"/>
      <c r="O291" s="141"/>
      <c r="P291" s="141"/>
      <c r="Q291" s="141"/>
      <c r="R291" s="141"/>
      <c r="T291" s="141"/>
    </row>
    <row r="292" spans="1:20">
      <c r="A292" s="140"/>
      <c r="B292" s="129"/>
      <c r="C292" s="129"/>
      <c r="D292" s="129"/>
      <c r="E292" s="129"/>
      <c r="F292" s="142"/>
      <c r="G292" s="142"/>
      <c r="H292" s="141"/>
      <c r="I292" s="141"/>
      <c r="J292" s="141"/>
      <c r="K292" s="141"/>
      <c r="L292" s="141"/>
      <c r="M292" s="141"/>
      <c r="N292" s="141"/>
      <c r="O292" s="141"/>
      <c r="P292" s="141"/>
      <c r="Q292" s="141"/>
      <c r="R292" s="141"/>
      <c r="T292" s="141"/>
    </row>
    <row r="293" spans="1:20">
      <c r="A293" s="140"/>
      <c r="B293" s="129"/>
      <c r="C293" s="129"/>
      <c r="D293" s="129"/>
      <c r="E293" s="129"/>
      <c r="F293" s="142"/>
      <c r="G293" s="142"/>
      <c r="H293" s="141"/>
      <c r="I293" s="141"/>
      <c r="J293" s="141"/>
      <c r="K293" s="141"/>
      <c r="L293" s="141"/>
      <c r="M293" s="141"/>
      <c r="N293" s="141"/>
      <c r="O293" s="141"/>
      <c r="P293" s="141"/>
      <c r="Q293" s="141"/>
      <c r="R293" s="141"/>
      <c r="T293" s="141"/>
    </row>
    <row r="294" spans="1:20">
      <c r="A294" s="140"/>
      <c r="B294" s="129"/>
      <c r="C294" s="129"/>
      <c r="D294" s="129"/>
      <c r="E294" s="129"/>
      <c r="F294" s="142"/>
      <c r="G294" s="142"/>
      <c r="H294" s="141"/>
      <c r="I294" s="141"/>
      <c r="J294" s="141"/>
      <c r="K294" s="141"/>
      <c r="L294" s="141"/>
      <c r="M294" s="141"/>
      <c r="N294" s="141"/>
      <c r="O294" s="141"/>
      <c r="P294" s="141"/>
      <c r="Q294" s="141"/>
      <c r="R294" s="141"/>
      <c r="T294" s="141"/>
    </row>
    <row r="295" spans="1:20">
      <c r="A295" s="140"/>
      <c r="B295" s="129"/>
      <c r="C295" s="129"/>
      <c r="D295" s="129"/>
      <c r="E295" s="129"/>
      <c r="F295" s="142"/>
      <c r="G295" s="142"/>
      <c r="H295" s="141"/>
      <c r="I295" s="141"/>
      <c r="J295" s="141"/>
      <c r="K295" s="141"/>
      <c r="L295" s="141"/>
      <c r="M295" s="141"/>
      <c r="N295" s="141"/>
      <c r="O295" s="141"/>
      <c r="P295" s="141"/>
      <c r="Q295" s="141"/>
      <c r="R295" s="141"/>
      <c r="T295" s="141"/>
    </row>
    <row r="296" spans="1:20">
      <c r="A296" s="140"/>
      <c r="B296" s="129"/>
      <c r="C296" s="129"/>
      <c r="D296" s="129"/>
      <c r="E296" s="129"/>
      <c r="F296" s="142"/>
      <c r="G296" s="142"/>
      <c r="H296" s="141"/>
      <c r="I296" s="141"/>
      <c r="J296" s="141"/>
      <c r="K296" s="141"/>
      <c r="L296" s="141"/>
      <c r="M296" s="141"/>
      <c r="N296" s="141"/>
      <c r="O296" s="141"/>
      <c r="P296" s="141"/>
      <c r="Q296" s="141"/>
      <c r="R296" s="141"/>
      <c r="T296" s="141"/>
    </row>
    <row r="297" spans="1:20">
      <c r="A297" s="140"/>
      <c r="B297" s="129"/>
      <c r="C297" s="129"/>
      <c r="D297" s="129"/>
      <c r="E297" s="129"/>
      <c r="F297" s="142"/>
      <c r="G297" s="142"/>
      <c r="H297" s="141"/>
      <c r="I297" s="141"/>
      <c r="J297" s="141"/>
      <c r="K297" s="141"/>
      <c r="L297" s="141"/>
      <c r="M297" s="141"/>
      <c r="N297" s="141"/>
      <c r="O297" s="141"/>
      <c r="P297" s="141"/>
      <c r="Q297" s="141"/>
      <c r="R297" s="141"/>
      <c r="T297" s="141"/>
    </row>
    <row r="298" spans="1:20">
      <c r="A298" s="140"/>
      <c r="B298" s="129"/>
      <c r="C298" s="129"/>
      <c r="D298" s="129"/>
      <c r="E298" s="129"/>
      <c r="F298" s="142"/>
      <c r="G298" s="142"/>
      <c r="H298" s="141"/>
      <c r="I298" s="141"/>
      <c r="J298" s="141"/>
      <c r="K298" s="141"/>
      <c r="L298" s="141"/>
      <c r="M298" s="141"/>
      <c r="N298" s="141"/>
      <c r="O298" s="141"/>
      <c r="P298" s="141"/>
      <c r="Q298" s="141"/>
      <c r="R298" s="141"/>
      <c r="T298" s="141"/>
    </row>
    <row r="299" spans="1:20">
      <c r="A299" s="140"/>
      <c r="B299" s="129"/>
      <c r="C299" s="129"/>
      <c r="D299" s="129"/>
      <c r="E299" s="129"/>
      <c r="F299" s="142"/>
      <c r="G299" s="142"/>
      <c r="H299" s="141"/>
      <c r="I299" s="141"/>
      <c r="J299" s="141"/>
      <c r="K299" s="141"/>
      <c r="L299" s="141"/>
      <c r="M299" s="141"/>
      <c r="N299" s="141"/>
      <c r="O299" s="141"/>
      <c r="P299" s="141"/>
      <c r="Q299" s="141"/>
      <c r="R299" s="141"/>
      <c r="T299" s="141"/>
    </row>
    <row r="300" spans="1:20">
      <c r="A300" s="140"/>
      <c r="B300" s="129"/>
      <c r="C300" s="129"/>
      <c r="D300" s="129"/>
      <c r="E300" s="129"/>
      <c r="F300" s="142"/>
      <c r="G300" s="142"/>
      <c r="H300" s="141"/>
      <c r="I300" s="141"/>
      <c r="J300" s="141"/>
      <c r="K300" s="141"/>
      <c r="L300" s="141"/>
      <c r="M300" s="141"/>
      <c r="N300" s="141"/>
      <c r="O300" s="141"/>
      <c r="P300" s="141"/>
      <c r="Q300" s="141"/>
      <c r="R300" s="141"/>
      <c r="T300" s="141"/>
    </row>
    <row r="301" spans="1:20">
      <c r="B301" s="129"/>
      <c r="C301" s="129"/>
      <c r="D301" s="129"/>
      <c r="E301" s="129"/>
      <c r="F301" s="142"/>
      <c r="G301" s="142"/>
    </row>
  </sheetData>
  <autoFilter ref="A1:IT147" xr:uid="{C6C3E44F-001E-4D15-96FC-AEA30F59CBDB}"/>
  <sortState xmlns:xlrd2="http://schemas.microsoft.com/office/spreadsheetml/2017/richdata2" ref="A2:T147">
    <sortCondition ref="A2:A147"/>
  </sortState>
  <pageMargins left="0.7" right="0.7" top="0.75" bottom="0.75" header="0.3" footer="0.3"/>
  <pageSetup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F731-A763-4F1E-9238-21555D13FC33}">
  <sheetPr>
    <tabColor rgb="FFFFC000"/>
  </sheetPr>
  <dimension ref="A3:T233"/>
  <sheetViews>
    <sheetView zoomScale="70" zoomScaleNormal="70" workbookViewId="0">
      <pane xSplit="1" ySplit="4" topLeftCell="B5" activePane="bottomRight" state="frozen"/>
      <selection pane="topRight" activeCell="B1" sqref="B1"/>
      <selection pane="bottomLeft" activeCell="A5" sqref="A5"/>
      <selection pane="bottomRight" activeCell="F16" sqref="F16"/>
    </sheetView>
  </sheetViews>
  <sheetFormatPr defaultColWidth="9.1328125" defaultRowHeight="14.25"/>
  <cols>
    <col min="1" max="1" width="26.73046875" style="106" bestFit="1" customWidth="1"/>
    <col min="2" max="2" width="45.86328125" style="106" bestFit="1" customWidth="1"/>
    <col min="3" max="3" width="29.1328125" style="154" bestFit="1" customWidth="1"/>
    <col min="4" max="4" width="16.1328125" style="154" bestFit="1" customWidth="1"/>
    <col min="5" max="5" width="20.59765625" style="154" bestFit="1" customWidth="1"/>
    <col min="6" max="6" width="23" style="153" bestFit="1" customWidth="1"/>
    <col min="7" max="7" width="13.73046875" style="106" bestFit="1" customWidth="1"/>
    <col min="8" max="8" width="14.265625" style="106" bestFit="1" customWidth="1"/>
    <col min="9" max="9" width="20.86328125" style="106" bestFit="1" customWidth="1"/>
    <col min="10" max="10" width="19.73046875" style="106" bestFit="1" customWidth="1"/>
    <col min="11" max="12" width="18.265625" style="106" bestFit="1" customWidth="1"/>
    <col min="13" max="14" width="16.3984375" style="106" bestFit="1" customWidth="1"/>
    <col min="15" max="18" width="30.73046875" style="106" bestFit="1" customWidth="1"/>
    <col min="19" max="19" width="19.73046875" style="106" bestFit="1" customWidth="1"/>
    <col min="20" max="20" width="23" style="106" bestFit="1" customWidth="1"/>
    <col min="21" max="16384" width="9.1328125" style="106"/>
  </cols>
  <sheetData>
    <row r="3" spans="1:20">
      <c r="A3"/>
      <c r="B3"/>
      <c r="C3"/>
      <c r="D3" s="157" t="s">
        <v>327</v>
      </c>
      <c r="E3" s="156"/>
      <c r="F3" s="156"/>
      <c r="G3" s="156"/>
      <c r="H3" s="156"/>
      <c r="I3" s="156"/>
      <c r="J3" s="156"/>
      <c r="K3" s="156"/>
      <c r="L3" s="156"/>
      <c r="M3" s="156"/>
      <c r="N3" s="156"/>
      <c r="O3"/>
      <c r="P3"/>
      <c r="Q3"/>
      <c r="R3"/>
      <c r="S3"/>
      <c r="T3"/>
    </row>
    <row r="4" spans="1:20" s="172" customFormat="1" ht="28.5">
      <c r="A4" s="170" t="s">
        <v>261</v>
      </c>
      <c r="B4" s="170" t="s">
        <v>378</v>
      </c>
      <c r="C4" s="170" t="s">
        <v>303</v>
      </c>
      <c r="D4" s="171" t="s">
        <v>352</v>
      </c>
      <c r="E4" s="171" t="s">
        <v>353</v>
      </c>
      <c r="F4" s="171" t="s">
        <v>354</v>
      </c>
      <c r="G4" s="173" t="s">
        <v>355</v>
      </c>
      <c r="H4" s="173" t="s">
        <v>356</v>
      </c>
      <c r="I4" s="173" t="s">
        <v>357</v>
      </c>
      <c r="J4" s="173" t="s">
        <v>358</v>
      </c>
      <c r="K4" s="173" t="s">
        <v>359</v>
      </c>
      <c r="L4" s="173" t="s">
        <v>360</v>
      </c>
      <c r="M4" s="173" t="s">
        <v>404</v>
      </c>
      <c r="N4" s="173" t="s">
        <v>405</v>
      </c>
      <c r="O4" s="173"/>
      <c r="P4" s="173"/>
      <c r="Q4" s="173"/>
      <c r="R4" s="173"/>
      <c r="S4" s="173"/>
      <c r="T4" s="173"/>
    </row>
    <row r="5" spans="1:20">
      <c r="A5" t="s">
        <v>133</v>
      </c>
      <c r="B5" t="s">
        <v>32</v>
      </c>
      <c r="C5" t="s">
        <v>325</v>
      </c>
      <c r="D5" s="156"/>
      <c r="E5" s="156"/>
      <c r="F5" s="156"/>
      <c r="G5" s="155">
        <v>84506.752000000008</v>
      </c>
      <c r="H5" s="155"/>
      <c r="I5" s="155"/>
      <c r="J5" s="155"/>
      <c r="K5" s="155"/>
      <c r="L5" s="155"/>
      <c r="M5" s="155"/>
      <c r="N5" s="155"/>
      <c r="O5"/>
      <c r="P5"/>
      <c r="Q5"/>
      <c r="R5"/>
      <c r="S5"/>
      <c r="T5"/>
    </row>
    <row r="6" spans="1:20">
      <c r="A6"/>
      <c r="B6"/>
      <c r="C6" t="s">
        <v>306</v>
      </c>
      <c r="D6" s="156">
        <v>1</v>
      </c>
      <c r="E6" s="156"/>
      <c r="F6" s="156"/>
      <c r="G6" s="155"/>
      <c r="H6" s="155"/>
      <c r="I6" s="155"/>
      <c r="J6" s="155"/>
      <c r="K6" s="155"/>
      <c r="L6" s="155">
        <v>735.55</v>
      </c>
      <c r="M6" s="155"/>
      <c r="N6" s="155"/>
      <c r="O6"/>
      <c r="P6"/>
      <c r="Q6"/>
      <c r="R6"/>
      <c r="S6"/>
      <c r="T6"/>
    </row>
    <row r="7" spans="1:20">
      <c r="A7"/>
      <c r="B7"/>
      <c r="C7" t="s">
        <v>362</v>
      </c>
      <c r="D7" s="156"/>
      <c r="E7" s="156"/>
      <c r="F7" s="156">
        <v>9</v>
      </c>
      <c r="G7" s="155"/>
      <c r="H7" s="155">
        <v>12442.06</v>
      </c>
      <c r="I7" s="155">
        <v>233588.84000000003</v>
      </c>
      <c r="J7" s="155"/>
      <c r="K7" s="155"/>
      <c r="L7" s="155">
        <v>3125.4541097345141</v>
      </c>
      <c r="M7" s="155"/>
      <c r="N7" s="155"/>
      <c r="O7"/>
      <c r="P7"/>
      <c r="Q7"/>
      <c r="R7"/>
      <c r="S7"/>
      <c r="T7"/>
    </row>
    <row r="8" spans="1:20">
      <c r="A8"/>
      <c r="B8"/>
      <c r="C8" t="s">
        <v>391</v>
      </c>
      <c r="D8" s="156"/>
      <c r="E8" s="156"/>
      <c r="F8" s="156"/>
      <c r="G8" s="155"/>
      <c r="H8" s="155"/>
      <c r="I8" s="155"/>
      <c r="J8" s="155"/>
      <c r="K8" s="155">
        <v>13076.480000000001</v>
      </c>
      <c r="L8" s="155"/>
      <c r="M8" s="155"/>
      <c r="N8" s="155"/>
      <c r="O8"/>
      <c r="P8"/>
      <c r="Q8"/>
      <c r="R8"/>
      <c r="S8"/>
      <c r="T8"/>
    </row>
    <row r="9" spans="1:20">
      <c r="A9" t="s">
        <v>328</v>
      </c>
      <c r="B9"/>
      <c r="C9"/>
      <c r="D9" s="156">
        <v>1</v>
      </c>
      <c r="E9" s="156"/>
      <c r="F9" s="156">
        <v>9</v>
      </c>
      <c r="G9" s="155">
        <v>84506.752000000008</v>
      </c>
      <c r="H9" s="155">
        <v>12442.06</v>
      </c>
      <c r="I9" s="155">
        <v>233588.84000000003</v>
      </c>
      <c r="J9" s="155"/>
      <c r="K9" s="155">
        <v>13076.480000000001</v>
      </c>
      <c r="L9" s="155">
        <v>3861.0041097345138</v>
      </c>
      <c r="M9" s="155"/>
      <c r="N9" s="155"/>
      <c r="O9"/>
      <c r="P9"/>
      <c r="Q9"/>
      <c r="R9"/>
      <c r="S9"/>
      <c r="T9"/>
    </row>
    <row r="10" spans="1:20">
      <c r="A10" t="s">
        <v>315</v>
      </c>
      <c r="B10"/>
      <c r="C10"/>
      <c r="D10" s="156">
        <v>1</v>
      </c>
      <c r="E10" s="156"/>
      <c r="F10" s="156">
        <v>9</v>
      </c>
      <c r="G10" s="155">
        <v>84506.752000000008</v>
      </c>
      <c r="H10" s="155">
        <v>12442.06</v>
      </c>
      <c r="I10" s="155">
        <v>233588.84000000003</v>
      </c>
      <c r="J10" s="155"/>
      <c r="K10" s="155">
        <v>13076.480000000001</v>
      </c>
      <c r="L10" s="155">
        <v>3861.0041097345138</v>
      </c>
      <c r="M10" s="155"/>
      <c r="N10" s="155"/>
      <c r="O10"/>
      <c r="P10"/>
      <c r="Q10"/>
      <c r="R10"/>
      <c r="S10"/>
      <c r="T10"/>
    </row>
    <row r="11" spans="1:20">
      <c r="A11"/>
      <c r="B11"/>
      <c r="C11"/>
      <c r="D11"/>
      <c r="E11"/>
      <c r="F11"/>
      <c r="G11"/>
      <c r="H11"/>
      <c r="I11"/>
      <c r="J11"/>
      <c r="K11"/>
      <c r="L11"/>
      <c r="M11"/>
      <c r="N11"/>
      <c r="O11"/>
      <c r="P11"/>
      <c r="Q11"/>
      <c r="R11"/>
      <c r="S11"/>
      <c r="T11"/>
    </row>
    <row r="12" spans="1:20">
      <c r="A12"/>
      <c r="B12"/>
      <c r="C12"/>
      <c r="D12"/>
      <c r="E12"/>
      <c r="F12"/>
      <c r="G12"/>
      <c r="H12"/>
      <c r="I12"/>
      <c r="J12"/>
      <c r="K12"/>
      <c r="L12"/>
      <c r="M12"/>
      <c r="N12"/>
      <c r="O12"/>
      <c r="P12"/>
      <c r="Q12"/>
      <c r="R12"/>
      <c r="S12"/>
      <c r="T12"/>
    </row>
    <row r="13" spans="1:20">
      <c r="A13"/>
      <c r="B13"/>
      <c r="C13"/>
      <c r="D13"/>
      <c r="E13"/>
      <c r="F13"/>
      <c r="G13"/>
      <c r="H13"/>
      <c r="I13"/>
      <c r="J13"/>
      <c r="K13"/>
      <c r="L13"/>
      <c r="M13"/>
      <c r="N13"/>
      <c r="O13"/>
      <c r="P13"/>
      <c r="Q13"/>
      <c r="R13"/>
      <c r="S13"/>
      <c r="T13"/>
    </row>
    <row r="14" spans="1:20">
      <c r="A14"/>
      <c r="B14"/>
      <c r="C14"/>
      <c r="D14"/>
      <c r="E14"/>
      <c r="F14"/>
      <c r="G14"/>
      <c r="H14"/>
      <c r="I14"/>
      <c r="J14"/>
      <c r="K14"/>
      <c r="L14"/>
      <c r="M14"/>
      <c r="N14"/>
      <c r="O14"/>
      <c r="P14"/>
      <c r="Q14"/>
      <c r="R14"/>
      <c r="S14"/>
      <c r="T14"/>
    </row>
    <row r="15" spans="1:20">
      <c r="A15"/>
      <c r="B15"/>
      <c r="C15"/>
      <c r="D15"/>
      <c r="E15"/>
      <c r="F15"/>
      <c r="G15"/>
      <c r="H15"/>
      <c r="I15"/>
      <c r="J15"/>
      <c r="K15"/>
      <c r="L15"/>
      <c r="M15"/>
      <c r="N15"/>
      <c r="O15"/>
      <c r="P15"/>
      <c r="Q15"/>
      <c r="R15"/>
      <c r="S15"/>
      <c r="T15"/>
    </row>
    <row r="16" spans="1:20">
      <c r="A16"/>
      <c r="B16"/>
      <c r="C16"/>
      <c r="D16"/>
      <c r="E16"/>
      <c r="F16"/>
      <c r="G16"/>
      <c r="H16"/>
      <c r="I16"/>
      <c r="J16"/>
      <c r="K16"/>
      <c r="L16"/>
      <c r="M16"/>
      <c r="N16"/>
      <c r="O16"/>
      <c r="P16"/>
      <c r="Q16"/>
      <c r="R16"/>
      <c r="S16"/>
      <c r="T16"/>
    </row>
    <row r="17" spans="1:20">
      <c r="A17"/>
      <c r="B17"/>
      <c r="C17"/>
      <c r="D17"/>
      <c r="E17"/>
      <c r="F17"/>
      <c r="G17"/>
      <c r="H17"/>
      <c r="I17"/>
      <c r="J17"/>
      <c r="K17"/>
      <c r="L17"/>
      <c r="M17"/>
      <c r="N17"/>
      <c r="O17"/>
      <c r="P17"/>
      <c r="Q17"/>
      <c r="R17"/>
      <c r="S17"/>
      <c r="T17"/>
    </row>
    <row r="18" spans="1:20">
      <c r="A18"/>
      <c r="B18"/>
      <c r="C18"/>
      <c r="D18"/>
      <c r="E18"/>
      <c r="F18"/>
      <c r="G18"/>
      <c r="H18"/>
      <c r="I18"/>
      <c r="J18"/>
      <c r="K18"/>
      <c r="L18"/>
      <c r="M18"/>
      <c r="N18"/>
      <c r="O18"/>
      <c r="P18"/>
      <c r="Q18"/>
      <c r="R18"/>
      <c r="S18"/>
      <c r="T18"/>
    </row>
    <row r="19" spans="1:20">
      <c r="A19"/>
      <c r="B19"/>
      <c r="C19"/>
      <c r="D19"/>
      <c r="E19"/>
      <c r="F19"/>
      <c r="G19"/>
      <c r="H19"/>
      <c r="I19"/>
      <c r="J19"/>
      <c r="K19"/>
      <c r="L19"/>
      <c r="M19"/>
      <c r="N19"/>
      <c r="O19"/>
      <c r="P19"/>
      <c r="Q19"/>
      <c r="R19"/>
      <c r="S19"/>
      <c r="T19"/>
    </row>
    <row r="20" spans="1:20">
      <c r="A20"/>
      <c r="B20"/>
      <c r="C20"/>
      <c r="D20"/>
      <c r="E20"/>
      <c r="F20"/>
      <c r="G20"/>
      <c r="H20"/>
      <c r="I20"/>
      <c r="J20"/>
      <c r="K20"/>
      <c r="L20"/>
      <c r="M20"/>
      <c r="N20"/>
      <c r="O20"/>
      <c r="P20"/>
      <c r="Q20"/>
      <c r="R20"/>
      <c r="S20"/>
      <c r="T20"/>
    </row>
    <row r="21" spans="1:20">
      <c r="A21"/>
      <c r="B21"/>
      <c r="C21"/>
      <c r="D21"/>
      <c r="E21"/>
      <c r="F21"/>
      <c r="G21"/>
      <c r="H21"/>
      <c r="I21"/>
      <c r="J21"/>
      <c r="K21"/>
      <c r="L21"/>
      <c r="M21"/>
      <c r="N21"/>
      <c r="O21"/>
      <c r="P21"/>
      <c r="Q21"/>
      <c r="R21"/>
      <c r="S21"/>
      <c r="T21"/>
    </row>
    <row r="22" spans="1:20">
      <c r="A22"/>
      <c r="B22"/>
      <c r="C22"/>
      <c r="D22"/>
      <c r="E22"/>
      <c r="F22"/>
      <c r="G22"/>
      <c r="H22"/>
      <c r="I22"/>
      <c r="J22"/>
      <c r="K22"/>
      <c r="L22"/>
      <c r="M22"/>
      <c r="N22"/>
      <c r="O22"/>
      <c r="P22"/>
      <c r="Q22"/>
      <c r="R22"/>
      <c r="S22"/>
      <c r="T22"/>
    </row>
    <row r="23" spans="1:20">
      <c r="A23"/>
      <c r="B23"/>
      <c r="C23"/>
      <c r="D23"/>
      <c r="E23"/>
      <c r="F23"/>
      <c r="G23"/>
      <c r="H23"/>
      <c r="I23"/>
      <c r="J23"/>
      <c r="K23"/>
      <c r="L23"/>
      <c r="M23"/>
      <c r="N23"/>
      <c r="O23"/>
      <c r="P23"/>
      <c r="Q23"/>
      <c r="R23"/>
      <c r="S23"/>
      <c r="T23"/>
    </row>
    <row r="24" spans="1:20">
      <c r="A24"/>
      <c r="B24"/>
      <c r="C24"/>
      <c r="D24"/>
      <c r="E24"/>
      <c r="F24"/>
      <c r="G24"/>
      <c r="H24"/>
      <c r="I24"/>
      <c r="J24"/>
      <c r="K24"/>
      <c r="L24"/>
      <c r="M24"/>
      <c r="N24"/>
      <c r="O24"/>
      <c r="P24"/>
      <c r="Q24"/>
      <c r="R24"/>
      <c r="S24"/>
      <c r="T24"/>
    </row>
    <row r="25" spans="1:20">
      <c r="A25"/>
      <c r="B25"/>
      <c r="C25"/>
      <c r="D25"/>
      <c r="E25"/>
      <c r="F25"/>
      <c r="G25"/>
      <c r="H25"/>
      <c r="I25"/>
      <c r="J25"/>
      <c r="K25"/>
      <c r="L25"/>
      <c r="M25"/>
      <c r="N25"/>
      <c r="O25"/>
      <c r="P25"/>
      <c r="Q25"/>
      <c r="R25"/>
      <c r="S25"/>
      <c r="T25"/>
    </row>
    <row r="26" spans="1:20">
      <c r="A26"/>
      <c r="B26"/>
      <c r="C26"/>
      <c r="D26"/>
      <c r="E26"/>
      <c r="F26"/>
      <c r="G26"/>
      <c r="H26"/>
      <c r="I26"/>
      <c r="J26"/>
      <c r="K26"/>
      <c r="L26"/>
      <c r="M26"/>
      <c r="N26"/>
      <c r="O26"/>
      <c r="P26"/>
      <c r="Q26"/>
      <c r="R26"/>
      <c r="S26"/>
      <c r="T26"/>
    </row>
    <row r="27" spans="1:20">
      <c r="A27"/>
      <c r="B27"/>
      <c r="C27"/>
      <c r="D27"/>
      <c r="E27"/>
      <c r="F27"/>
      <c r="G27"/>
      <c r="H27"/>
      <c r="I27"/>
      <c r="J27"/>
      <c r="K27"/>
      <c r="L27"/>
      <c r="M27"/>
      <c r="N27"/>
      <c r="O27"/>
      <c r="P27"/>
      <c r="Q27"/>
      <c r="R27"/>
      <c r="S27"/>
      <c r="T27"/>
    </row>
    <row r="28" spans="1:20">
      <c r="A28"/>
      <c r="B28"/>
      <c r="C28"/>
      <c r="D28"/>
      <c r="E28"/>
      <c r="F28"/>
      <c r="G28"/>
      <c r="H28"/>
      <c r="I28"/>
      <c r="J28"/>
      <c r="K28"/>
      <c r="L28"/>
      <c r="M28"/>
      <c r="N28"/>
      <c r="O28"/>
      <c r="P28"/>
      <c r="Q28"/>
      <c r="R28"/>
      <c r="S28"/>
      <c r="T28"/>
    </row>
    <row r="29" spans="1:20">
      <c r="A29"/>
      <c r="B29"/>
      <c r="C29"/>
      <c r="D29"/>
      <c r="E29"/>
      <c r="F29"/>
      <c r="G29"/>
      <c r="H29"/>
      <c r="I29"/>
      <c r="J29"/>
      <c r="K29"/>
      <c r="L29"/>
      <c r="M29"/>
      <c r="N29"/>
      <c r="O29"/>
      <c r="P29"/>
      <c r="Q29"/>
      <c r="R29"/>
      <c r="S29"/>
      <c r="T29"/>
    </row>
    <row r="30" spans="1:20">
      <c r="A30"/>
      <c r="B30"/>
      <c r="C30"/>
      <c r="D30"/>
      <c r="E30"/>
      <c r="F30"/>
      <c r="G30"/>
      <c r="H30"/>
      <c r="I30"/>
      <c r="J30"/>
      <c r="K30"/>
      <c r="L30"/>
      <c r="M30"/>
      <c r="N30"/>
      <c r="O30"/>
      <c r="P30"/>
      <c r="Q30"/>
      <c r="R30"/>
      <c r="S30"/>
      <c r="T30"/>
    </row>
    <row r="31" spans="1:20">
      <c r="A31"/>
      <c r="B31"/>
      <c r="C31"/>
      <c r="D31"/>
      <c r="E31"/>
      <c r="F31"/>
      <c r="G31"/>
      <c r="H31"/>
      <c r="I31"/>
      <c r="J31"/>
      <c r="K31"/>
      <c r="L31"/>
      <c r="M31"/>
      <c r="N31"/>
      <c r="O31"/>
      <c r="P31"/>
      <c r="Q31"/>
      <c r="R31"/>
      <c r="S31"/>
      <c r="T31"/>
    </row>
    <row r="32" spans="1:20">
      <c r="A32"/>
      <c r="B32"/>
      <c r="C32"/>
      <c r="D32"/>
      <c r="E32"/>
      <c r="F32"/>
      <c r="G32"/>
      <c r="H32"/>
      <c r="I32"/>
      <c r="J32"/>
      <c r="K32"/>
      <c r="L32"/>
      <c r="M32"/>
      <c r="N32"/>
      <c r="O32"/>
      <c r="P32"/>
      <c r="Q32"/>
      <c r="R32"/>
      <c r="S32"/>
      <c r="T32"/>
    </row>
    <row r="33" spans="1:20">
      <c r="A33"/>
      <c r="B33"/>
      <c r="C33"/>
      <c r="D33"/>
      <c r="E33"/>
      <c r="F33"/>
      <c r="G33"/>
      <c r="H33"/>
      <c r="I33"/>
      <c r="J33"/>
      <c r="K33"/>
      <c r="L33"/>
      <c r="M33"/>
      <c r="N33"/>
      <c r="O33"/>
      <c r="P33"/>
      <c r="Q33"/>
      <c r="R33"/>
      <c r="S33"/>
      <c r="T33"/>
    </row>
    <row r="34" spans="1:20">
      <c r="A34"/>
      <c r="B34"/>
      <c r="C34"/>
      <c r="D34"/>
      <c r="E34"/>
      <c r="F34"/>
      <c r="G34"/>
      <c r="H34"/>
      <c r="I34"/>
      <c r="J34"/>
      <c r="K34"/>
      <c r="L34"/>
      <c r="M34"/>
      <c r="N34"/>
      <c r="O34"/>
      <c r="P34"/>
      <c r="Q34"/>
      <c r="R34"/>
      <c r="S34"/>
      <c r="T34"/>
    </row>
    <row r="35" spans="1:20">
      <c r="A35"/>
      <c r="B35"/>
      <c r="C35"/>
      <c r="D35"/>
      <c r="E35"/>
      <c r="F35"/>
      <c r="G35"/>
      <c r="H35"/>
      <c r="I35"/>
      <c r="J35"/>
      <c r="K35"/>
      <c r="L35"/>
      <c r="M35"/>
      <c r="N35"/>
      <c r="O35"/>
      <c r="P35"/>
      <c r="Q35"/>
      <c r="R35"/>
      <c r="S35"/>
      <c r="T35"/>
    </row>
    <row r="36" spans="1:20">
      <c r="A36"/>
      <c r="B36"/>
      <c r="C36"/>
      <c r="D36"/>
      <c r="E36"/>
      <c r="F36"/>
      <c r="G36"/>
      <c r="H36"/>
      <c r="I36"/>
      <c r="J36"/>
      <c r="K36"/>
      <c r="L36"/>
      <c r="M36"/>
      <c r="N36"/>
      <c r="O36"/>
      <c r="P36"/>
      <c r="Q36"/>
      <c r="R36"/>
      <c r="S36"/>
      <c r="T36"/>
    </row>
    <row r="37" spans="1:20">
      <c r="A37"/>
      <c r="B37"/>
      <c r="C37"/>
      <c r="D37"/>
      <c r="E37"/>
      <c r="F37"/>
      <c r="G37"/>
      <c r="H37"/>
      <c r="I37"/>
      <c r="J37"/>
      <c r="K37"/>
      <c r="L37"/>
      <c r="M37"/>
      <c r="N37"/>
      <c r="O37"/>
      <c r="P37"/>
      <c r="Q37"/>
      <c r="R37"/>
      <c r="S37"/>
      <c r="T37"/>
    </row>
    <row r="38" spans="1:20">
      <c r="A38"/>
      <c r="B38"/>
      <c r="C38"/>
      <c r="D38"/>
      <c r="E38"/>
      <c r="F38"/>
      <c r="G38"/>
      <c r="H38"/>
      <c r="I38"/>
      <c r="J38"/>
      <c r="K38"/>
      <c r="L38"/>
      <c r="M38"/>
      <c r="N38"/>
      <c r="O38"/>
      <c r="P38"/>
      <c r="Q38"/>
      <c r="R38"/>
      <c r="S38"/>
      <c r="T38"/>
    </row>
    <row r="39" spans="1:20">
      <c r="A39"/>
      <c r="B39"/>
      <c r="C39"/>
      <c r="D39"/>
      <c r="E39"/>
      <c r="F39"/>
      <c r="G39"/>
      <c r="H39"/>
      <c r="I39"/>
      <c r="J39"/>
      <c r="K39"/>
      <c r="L39"/>
      <c r="M39"/>
      <c r="N39"/>
      <c r="O39"/>
      <c r="P39"/>
      <c r="Q39"/>
      <c r="R39"/>
      <c r="S39"/>
      <c r="T39"/>
    </row>
    <row r="40" spans="1:20">
      <c r="A40"/>
      <c r="B40"/>
      <c r="C40"/>
      <c r="D40"/>
      <c r="E40"/>
      <c r="F40"/>
      <c r="G40"/>
      <c r="H40"/>
      <c r="I40"/>
      <c r="J40"/>
      <c r="K40"/>
      <c r="L40"/>
      <c r="M40"/>
      <c r="N40"/>
      <c r="O40"/>
      <c r="P40"/>
      <c r="Q40"/>
      <c r="R40"/>
      <c r="S40"/>
      <c r="T40"/>
    </row>
    <row r="41" spans="1:20">
      <c r="A41"/>
      <c r="B41"/>
      <c r="C41"/>
      <c r="D41"/>
      <c r="E41"/>
      <c r="F41"/>
      <c r="G41"/>
      <c r="H41"/>
      <c r="I41"/>
      <c r="J41"/>
      <c r="K41"/>
      <c r="L41"/>
      <c r="M41"/>
      <c r="N41"/>
      <c r="O41"/>
      <c r="P41"/>
      <c r="Q41"/>
      <c r="R41"/>
      <c r="S41"/>
      <c r="T41"/>
    </row>
    <row r="42" spans="1:20">
      <c r="A42"/>
      <c r="B42"/>
      <c r="C42"/>
      <c r="D42"/>
      <c r="E42"/>
      <c r="F42"/>
      <c r="G42"/>
      <c r="H42"/>
      <c r="I42"/>
      <c r="J42"/>
      <c r="K42"/>
      <c r="L42"/>
      <c r="M42"/>
      <c r="N42"/>
      <c r="O42"/>
      <c r="P42"/>
      <c r="Q42"/>
      <c r="R42"/>
      <c r="S42"/>
      <c r="T42"/>
    </row>
    <row r="43" spans="1:20">
      <c r="A43"/>
      <c r="B43"/>
      <c r="C43"/>
      <c r="D43"/>
      <c r="E43"/>
      <c r="F43"/>
      <c r="G43"/>
      <c r="H43"/>
      <c r="I43"/>
      <c r="J43"/>
      <c r="K43"/>
      <c r="L43"/>
      <c r="M43"/>
      <c r="N43"/>
      <c r="O43"/>
      <c r="P43"/>
      <c r="Q43"/>
      <c r="R43"/>
      <c r="S43"/>
      <c r="T43"/>
    </row>
    <row r="44" spans="1:20">
      <c r="A44"/>
      <c r="B44"/>
      <c r="C44"/>
      <c r="D44"/>
      <c r="E44"/>
      <c r="F44"/>
      <c r="G44"/>
      <c r="H44"/>
      <c r="I44"/>
      <c r="J44"/>
      <c r="K44"/>
      <c r="L44"/>
      <c r="M44"/>
      <c r="N44"/>
      <c r="O44"/>
      <c r="P44"/>
      <c r="Q44"/>
      <c r="R44"/>
      <c r="S44"/>
      <c r="T44"/>
    </row>
    <row r="45" spans="1:20">
      <c r="A45"/>
      <c r="B45"/>
      <c r="C45"/>
      <c r="D45"/>
      <c r="E45"/>
      <c r="F45"/>
      <c r="G45"/>
      <c r="H45"/>
      <c r="I45"/>
      <c r="J45"/>
      <c r="K45"/>
      <c r="L45"/>
      <c r="M45"/>
      <c r="N45"/>
      <c r="O45"/>
      <c r="P45"/>
      <c r="Q45"/>
      <c r="R45"/>
      <c r="S45"/>
      <c r="T45"/>
    </row>
    <row r="46" spans="1:20">
      <c r="A46"/>
      <c r="B46"/>
      <c r="C46"/>
      <c r="D46"/>
      <c r="E46"/>
      <c r="F46"/>
      <c r="G46"/>
      <c r="H46"/>
      <c r="I46"/>
      <c r="J46"/>
      <c r="K46"/>
      <c r="L46"/>
      <c r="M46"/>
      <c r="N46"/>
      <c r="O46"/>
      <c r="P46"/>
      <c r="Q46"/>
      <c r="R46"/>
      <c r="S46"/>
      <c r="T46"/>
    </row>
    <row r="47" spans="1:20">
      <c r="A47"/>
      <c r="B47"/>
      <c r="C47"/>
      <c r="D47"/>
      <c r="E47"/>
      <c r="F47"/>
      <c r="G47"/>
      <c r="H47"/>
      <c r="I47"/>
      <c r="J47"/>
      <c r="K47"/>
      <c r="L47"/>
      <c r="M47"/>
      <c r="N47"/>
      <c r="O47"/>
      <c r="P47"/>
      <c r="Q47"/>
      <c r="R47"/>
      <c r="S47"/>
      <c r="T47"/>
    </row>
    <row r="48" spans="1:20">
      <c r="A48"/>
      <c r="B48"/>
      <c r="C48"/>
      <c r="D48"/>
      <c r="E48"/>
      <c r="F48"/>
      <c r="G48"/>
      <c r="H48"/>
      <c r="I48"/>
      <c r="J48"/>
      <c r="K48"/>
      <c r="L48"/>
      <c r="M48"/>
      <c r="N48"/>
      <c r="O48"/>
      <c r="P48"/>
      <c r="Q48"/>
      <c r="R48"/>
      <c r="S48"/>
      <c r="T48"/>
    </row>
    <row r="49" spans="1:20">
      <c r="A49"/>
      <c r="B49"/>
      <c r="C49"/>
      <c r="D49"/>
      <c r="E49"/>
      <c r="F49"/>
      <c r="G49"/>
      <c r="H49"/>
      <c r="I49"/>
      <c r="J49"/>
      <c r="K49"/>
      <c r="L49"/>
      <c r="M49"/>
      <c r="N49"/>
      <c r="O49"/>
      <c r="P49"/>
      <c r="Q49"/>
      <c r="R49"/>
      <c r="S49"/>
      <c r="T49"/>
    </row>
    <row r="50" spans="1:20">
      <c r="A50"/>
      <c r="B50"/>
      <c r="C50"/>
      <c r="D50"/>
      <c r="E50"/>
      <c r="F50"/>
      <c r="G50"/>
      <c r="H50"/>
      <c r="I50"/>
      <c r="J50"/>
      <c r="K50"/>
      <c r="L50"/>
      <c r="M50"/>
      <c r="N50"/>
      <c r="O50"/>
      <c r="P50"/>
      <c r="Q50"/>
      <c r="R50"/>
      <c r="S50"/>
      <c r="T50"/>
    </row>
    <row r="51" spans="1:20">
      <c r="A51"/>
      <c r="B51"/>
      <c r="C51"/>
      <c r="D51"/>
      <c r="E51"/>
      <c r="F51"/>
      <c r="G51"/>
      <c r="H51"/>
      <c r="I51"/>
      <c r="J51"/>
      <c r="K51"/>
      <c r="L51"/>
      <c r="M51"/>
      <c r="N51"/>
      <c r="O51"/>
      <c r="P51"/>
      <c r="Q51"/>
      <c r="R51"/>
      <c r="S51"/>
      <c r="T51"/>
    </row>
    <row r="52" spans="1:20">
      <c r="A52"/>
      <c r="B52"/>
      <c r="C52"/>
      <c r="D52"/>
      <c r="E52"/>
      <c r="F52"/>
      <c r="G52"/>
      <c r="H52"/>
      <c r="I52"/>
      <c r="J52"/>
      <c r="K52"/>
      <c r="L52"/>
      <c r="M52"/>
      <c r="N52"/>
      <c r="O52"/>
      <c r="P52"/>
      <c r="Q52"/>
      <c r="R52"/>
      <c r="S52"/>
      <c r="T52"/>
    </row>
    <row r="53" spans="1:20">
      <c r="A53"/>
      <c r="B53"/>
      <c r="C53"/>
      <c r="D53"/>
      <c r="E53"/>
      <c r="F53"/>
      <c r="G53"/>
      <c r="H53"/>
      <c r="I53"/>
      <c r="J53"/>
      <c r="K53"/>
      <c r="L53"/>
      <c r="M53"/>
      <c r="N53"/>
      <c r="O53"/>
      <c r="P53"/>
      <c r="Q53"/>
      <c r="R53"/>
      <c r="S53"/>
      <c r="T53"/>
    </row>
    <row r="54" spans="1:20">
      <c r="A54"/>
      <c r="B54"/>
      <c r="C54"/>
      <c r="D54"/>
      <c r="E54"/>
      <c r="F54"/>
      <c r="G54"/>
      <c r="H54"/>
      <c r="I54"/>
      <c r="J54"/>
      <c r="K54"/>
      <c r="L54"/>
      <c r="M54"/>
      <c r="N54"/>
      <c r="O54"/>
      <c r="P54"/>
      <c r="Q54"/>
      <c r="R54"/>
      <c r="S54"/>
      <c r="T54"/>
    </row>
    <row r="55" spans="1:20">
      <c r="A55"/>
      <c r="B55"/>
      <c r="C55"/>
      <c r="D55"/>
      <c r="E55"/>
      <c r="F55"/>
      <c r="G55"/>
      <c r="H55"/>
      <c r="I55"/>
      <c r="J55"/>
      <c r="K55"/>
      <c r="L55"/>
      <c r="M55"/>
      <c r="N55"/>
      <c r="O55"/>
      <c r="P55"/>
      <c r="Q55"/>
      <c r="R55"/>
      <c r="S55"/>
      <c r="T55"/>
    </row>
    <row r="56" spans="1:20">
      <c r="A56"/>
      <c r="B56"/>
      <c r="C56"/>
      <c r="D56"/>
      <c r="E56"/>
      <c r="F56"/>
      <c r="G56"/>
      <c r="H56"/>
      <c r="I56"/>
      <c r="J56"/>
      <c r="K56"/>
      <c r="L56"/>
      <c r="M56"/>
      <c r="N56"/>
      <c r="O56"/>
      <c r="P56"/>
      <c r="Q56"/>
      <c r="R56"/>
      <c r="S56"/>
      <c r="T56"/>
    </row>
    <row r="57" spans="1:20">
      <c r="A57"/>
      <c r="B57"/>
      <c r="C57"/>
      <c r="D57"/>
      <c r="E57"/>
      <c r="F57"/>
      <c r="G57"/>
      <c r="H57"/>
      <c r="I57"/>
      <c r="J57"/>
      <c r="K57"/>
      <c r="L57"/>
      <c r="M57"/>
      <c r="N57"/>
      <c r="O57"/>
      <c r="P57"/>
      <c r="Q57"/>
      <c r="R57"/>
      <c r="S57"/>
      <c r="T57"/>
    </row>
    <row r="58" spans="1:20">
      <c r="A58"/>
      <c r="B58"/>
      <c r="C58"/>
      <c r="D58"/>
      <c r="E58"/>
      <c r="F58"/>
      <c r="G58"/>
      <c r="H58"/>
      <c r="I58"/>
      <c r="J58"/>
      <c r="K58"/>
      <c r="L58"/>
      <c r="M58"/>
      <c r="N58"/>
      <c r="O58"/>
      <c r="P58"/>
      <c r="Q58"/>
      <c r="R58"/>
      <c r="S58"/>
      <c r="T58"/>
    </row>
    <row r="59" spans="1:20">
      <c r="A59"/>
      <c r="B59"/>
      <c r="C59"/>
      <c r="D59"/>
      <c r="E59"/>
      <c r="F59"/>
      <c r="G59"/>
      <c r="H59"/>
      <c r="I59"/>
      <c r="J59"/>
      <c r="K59"/>
      <c r="L59"/>
      <c r="M59"/>
      <c r="N59"/>
      <c r="O59"/>
      <c r="P59"/>
      <c r="Q59"/>
      <c r="R59"/>
      <c r="S59"/>
      <c r="T59"/>
    </row>
    <row r="60" spans="1:20">
      <c r="A60"/>
      <c r="B60"/>
      <c r="C60"/>
      <c r="D60"/>
      <c r="E60"/>
      <c r="F60"/>
      <c r="G60"/>
      <c r="H60"/>
      <c r="I60"/>
      <c r="J60"/>
      <c r="K60"/>
      <c r="L60"/>
      <c r="M60"/>
      <c r="N60"/>
      <c r="O60"/>
      <c r="P60"/>
      <c r="Q60"/>
      <c r="R60"/>
      <c r="S60"/>
      <c r="T60"/>
    </row>
    <row r="61" spans="1:20">
      <c r="A61"/>
      <c r="B61"/>
      <c r="C61"/>
      <c r="D61"/>
      <c r="E61"/>
      <c r="F61"/>
      <c r="G61"/>
      <c r="H61"/>
      <c r="I61"/>
      <c r="J61"/>
      <c r="K61"/>
      <c r="L61"/>
      <c r="M61"/>
      <c r="N61"/>
      <c r="O61"/>
      <c r="P61"/>
      <c r="Q61"/>
      <c r="R61"/>
      <c r="S61"/>
      <c r="T61"/>
    </row>
    <row r="62" spans="1:20">
      <c r="A62"/>
      <c r="B62"/>
      <c r="C62"/>
      <c r="D62"/>
      <c r="E62"/>
      <c r="F62"/>
      <c r="G62"/>
      <c r="H62"/>
      <c r="I62"/>
      <c r="J62"/>
      <c r="K62"/>
      <c r="L62"/>
      <c r="M62"/>
      <c r="N62"/>
      <c r="O62"/>
      <c r="P62"/>
      <c r="Q62"/>
      <c r="R62"/>
      <c r="S62"/>
      <c r="T62"/>
    </row>
    <row r="63" spans="1:20">
      <c r="A63"/>
      <c r="B63"/>
      <c r="C63"/>
      <c r="D63"/>
      <c r="E63"/>
      <c r="F63"/>
      <c r="G63"/>
      <c r="H63"/>
      <c r="I63"/>
      <c r="J63"/>
      <c r="K63"/>
      <c r="L63"/>
      <c r="M63"/>
      <c r="N63"/>
      <c r="O63"/>
      <c r="P63"/>
      <c r="Q63"/>
      <c r="R63"/>
      <c r="S63"/>
      <c r="T63"/>
    </row>
    <row r="64" spans="1:20">
      <c r="A64"/>
      <c r="B64"/>
      <c r="C64"/>
      <c r="D64"/>
      <c r="E64"/>
      <c r="F64"/>
      <c r="G64"/>
      <c r="H64"/>
      <c r="I64"/>
      <c r="J64"/>
      <c r="K64"/>
      <c r="L64"/>
      <c r="M64"/>
      <c r="N64"/>
      <c r="O64"/>
      <c r="P64"/>
      <c r="Q64"/>
      <c r="R64"/>
      <c r="S64"/>
      <c r="T64"/>
    </row>
    <row r="65" spans="1:20">
      <c r="A65"/>
      <c r="B65"/>
      <c r="C65"/>
      <c r="D65"/>
      <c r="E65"/>
      <c r="F65"/>
      <c r="G65"/>
      <c r="H65"/>
      <c r="I65"/>
      <c r="J65"/>
      <c r="K65"/>
      <c r="L65"/>
      <c r="M65"/>
      <c r="N65"/>
      <c r="O65"/>
      <c r="P65"/>
      <c r="Q65"/>
      <c r="R65"/>
      <c r="S65"/>
      <c r="T65"/>
    </row>
    <row r="66" spans="1:20">
      <c r="A66"/>
      <c r="B66"/>
      <c r="C66"/>
      <c r="D66"/>
      <c r="E66"/>
      <c r="F66"/>
      <c r="G66"/>
      <c r="H66"/>
      <c r="I66"/>
      <c r="J66"/>
      <c r="K66"/>
      <c r="L66"/>
      <c r="M66"/>
      <c r="N66"/>
      <c r="O66"/>
      <c r="P66"/>
      <c r="Q66"/>
      <c r="R66"/>
      <c r="S66"/>
      <c r="T66"/>
    </row>
    <row r="67" spans="1:20">
      <c r="A67"/>
      <c r="B67"/>
      <c r="C67"/>
      <c r="D67"/>
      <c r="E67"/>
      <c r="F67"/>
      <c r="G67"/>
      <c r="H67"/>
      <c r="I67"/>
      <c r="J67"/>
      <c r="K67"/>
      <c r="L67"/>
      <c r="M67"/>
      <c r="N67"/>
      <c r="O67"/>
      <c r="P67"/>
      <c r="Q67"/>
      <c r="R67"/>
      <c r="S67"/>
      <c r="T67"/>
    </row>
    <row r="68" spans="1:20">
      <c r="A68"/>
      <c r="B68"/>
      <c r="C68"/>
      <c r="D68"/>
      <c r="E68"/>
      <c r="F68"/>
      <c r="G68"/>
      <c r="H68"/>
      <c r="I68"/>
      <c r="J68"/>
      <c r="K68"/>
      <c r="L68"/>
      <c r="M68"/>
      <c r="N68"/>
      <c r="O68"/>
      <c r="P68"/>
      <c r="Q68"/>
      <c r="R68"/>
      <c r="S68"/>
      <c r="T68"/>
    </row>
    <row r="69" spans="1:20">
      <c r="A69"/>
      <c r="B69"/>
      <c r="C69"/>
      <c r="D69"/>
      <c r="E69"/>
      <c r="F69"/>
      <c r="G69"/>
      <c r="H69"/>
      <c r="I69"/>
      <c r="J69"/>
      <c r="K69"/>
      <c r="L69"/>
      <c r="M69"/>
      <c r="N69"/>
      <c r="O69"/>
      <c r="P69"/>
      <c r="Q69"/>
      <c r="R69"/>
      <c r="S69"/>
      <c r="T69"/>
    </row>
    <row r="70" spans="1:20">
      <c r="A70"/>
      <c r="B70"/>
      <c r="C70"/>
      <c r="D70"/>
      <c r="E70"/>
      <c r="F70"/>
      <c r="G70"/>
      <c r="H70"/>
      <c r="I70"/>
      <c r="J70"/>
      <c r="K70"/>
      <c r="L70"/>
      <c r="M70"/>
      <c r="N70"/>
      <c r="O70"/>
      <c r="P70"/>
      <c r="Q70"/>
      <c r="R70"/>
      <c r="S70"/>
      <c r="T70"/>
    </row>
    <row r="71" spans="1:20">
      <c r="A71"/>
      <c r="B71"/>
      <c r="C71"/>
      <c r="D71"/>
      <c r="E71"/>
      <c r="F71"/>
      <c r="G71"/>
      <c r="H71"/>
      <c r="I71"/>
      <c r="J71"/>
      <c r="K71"/>
      <c r="L71"/>
      <c r="M71"/>
      <c r="N71"/>
      <c r="O71"/>
      <c r="P71"/>
      <c r="Q71"/>
      <c r="R71"/>
      <c r="S71"/>
      <c r="T71"/>
    </row>
    <row r="72" spans="1:20">
      <c r="A72"/>
      <c r="B72"/>
      <c r="C72"/>
      <c r="D72"/>
      <c r="E72"/>
      <c r="F72"/>
      <c r="G72"/>
      <c r="H72"/>
      <c r="I72"/>
      <c r="J72"/>
      <c r="K72"/>
      <c r="L72"/>
      <c r="M72"/>
      <c r="N72"/>
      <c r="O72"/>
      <c r="P72"/>
      <c r="Q72"/>
      <c r="R72"/>
      <c r="S72"/>
      <c r="T72"/>
    </row>
    <row r="73" spans="1:20">
      <c r="A73"/>
      <c r="B73"/>
      <c r="C73"/>
      <c r="D73"/>
      <c r="E73"/>
      <c r="F73"/>
      <c r="G73"/>
      <c r="H73"/>
      <c r="I73"/>
      <c r="J73"/>
      <c r="K73"/>
      <c r="L73"/>
      <c r="M73"/>
      <c r="N73"/>
      <c r="O73"/>
      <c r="P73"/>
      <c r="Q73"/>
      <c r="R73"/>
      <c r="S73"/>
      <c r="T73"/>
    </row>
    <row r="74" spans="1:20">
      <c r="A74"/>
      <c r="B74"/>
      <c r="C74"/>
      <c r="D74"/>
      <c r="E74"/>
      <c r="F74"/>
      <c r="G74"/>
      <c r="H74"/>
      <c r="I74"/>
      <c r="J74"/>
      <c r="K74"/>
      <c r="L74"/>
      <c r="M74"/>
      <c r="N74"/>
      <c r="O74"/>
      <c r="P74"/>
      <c r="Q74"/>
      <c r="R74"/>
      <c r="S74"/>
      <c r="T74"/>
    </row>
    <row r="75" spans="1:20">
      <c r="A75"/>
      <c r="B75"/>
      <c r="C75"/>
      <c r="D75"/>
      <c r="E75"/>
      <c r="F75"/>
      <c r="G75"/>
      <c r="H75"/>
      <c r="I75"/>
      <c r="J75"/>
      <c r="K75"/>
      <c r="L75"/>
      <c r="M75"/>
      <c r="N75"/>
      <c r="O75"/>
      <c r="P75"/>
      <c r="Q75"/>
      <c r="R75"/>
      <c r="S75"/>
      <c r="T75"/>
    </row>
    <row r="76" spans="1:20">
      <c r="A76"/>
      <c r="B76"/>
      <c r="C76"/>
      <c r="D76"/>
      <c r="E76"/>
      <c r="F76"/>
      <c r="G76"/>
      <c r="H76"/>
      <c r="I76"/>
      <c r="J76"/>
      <c r="K76"/>
      <c r="L76"/>
      <c r="M76"/>
      <c r="N76"/>
      <c r="O76"/>
      <c r="P76"/>
      <c r="Q76"/>
      <c r="R76"/>
      <c r="S76"/>
      <c r="T76"/>
    </row>
    <row r="77" spans="1:20">
      <c r="A77"/>
      <c r="B77"/>
      <c r="C77"/>
      <c r="D77"/>
      <c r="E77"/>
      <c r="F77"/>
      <c r="G77"/>
      <c r="H77"/>
      <c r="I77"/>
      <c r="J77"/>
      <c r="K77"/>
      <c r="L77"/>
      <c r="M77"/>
      <c r="N77"/>
      <c r="O77"/>
      <c r="P77"/>
      <c r="Q77"/>
      <c r="R77"/>
      <c r="S77"/>
      <c r="T77"/>
    </row>
    <row r="78" spans="1:20">
      <c r="A78"/>
      <c r="B78"/>
      <c r="C78"/>
      <c r="D78"/>
      <c r="E78"/>
      <c r="F78"/>
      <c r="G78"/>
      <c r="H78"/>
      <c r="I78"/>
      <c r="J78"/>
      <c r="K78"/>
      <c r="L78"/>
      <c r="M78"/>
      <c r="N78"/>
      <c r="O78"/>
      <c r="P78"/>
      <c r="Q78"/>
      <c r="R78"/>
      <c r="S78"/>
      <c r="T78"/>
    </row>
    <row r="79" spans="1:20">
      <c r="A79"/>
      <c r="B79"/>
      <c r="C79"/>
      <c r="D79"/>
      <c r="E79"/>
      <c r="F79"/>
      <c r="G79"/>
      <c r="H79"/>
      <c r="I79"/>
      <c r="J79"/>
      <c r="K79"/>
      <c r="L79"/>
      <c r="M79"/>
      <c r="N79"/>
      <c r="O79"/>
      <c r="P79"/>
      <c r="Q79"/>
      <c r="R79"/>
      <c r="S79"/>
      <c r="T79"/>
    </row>
    <row r="80" spans="1:20">
      <c r="A80"/>
      <c r="B80"/>
      <c r="C80"/>
      <c r="D80"/>
      <c r="E80"/>
      <c r="F80"/>
      <c r="G80"/>
      <c r="H80"/>
      <c r="I80"/>
      <c r="J80"/>
      <c r="K80"/>
      <c r="L80"/>
      <c r="M80"/>
      <c r="N80"/>
      <c r="O80"/>
      <c r="P80"/>
      <c r="Q80"/>
      <c r="R80"/>
      <c r="S80"/>
      <c r="T80"/>
    </row>
    <row r="81" spans="1:20">
      <c r="A81"/>
      <c r="B81"/>
      <c r="C81"/>
      <c r="D81"/>
      <c r="E81"/>
      <c r="F81"/>
      <c r="G81"/>
      <c r="H81"/>
      <c r="I81"/>
      <c r="J81"/>
      <c r="K81"/>
      <c r="L81"/>
      <c r="M81"/>
      <c r="N81"/>
      <c r="O81"/>
      <c r="P81"/>
      <c r="Q81"/>
      <c r="R81"/>
      <c r="S81"/>
      <c r="T81"/>
    </row>
    <row r="82" spans="1:20">
      <c r="A82"/>
      <c r="B82"/>
      <c r="C82"/>
      <c r="D82"/>
      <c r="E82"/>
      <c r="F82"/>
      <c r="G82"/>
      <c r="H82"/>
      <c r="I82"/>
      <c r="J82"/>
      <c r="K82"/>
      <c r="L82"/>
      <c r="M82"/>
      <c r="N82"/>
      <c r="O82"/>
      <c r="P82"/>
      <c r="Q82"/>
      <c r="R82"/>
      <c r="S82"/>
      <c r="T82"/>
    </row>
    <row r="83" spans="1:20">
      <c r="A83"/>
      <c r="B83"/>
      <c r="C83"/>
      <c r="D83"/>
      <c r="E83"/>
      <c r="F83"/>
      <c r="G83"/>
      <c r="H83"/>
      <c r="I83"/>
      <c r="J83"/>
      <c r="K83"/>
      <c r="L83"/>
      <c r="M83"/>
      <c r="N83"/>
      <c r="O83"/>
      <c r="P83"/>
      <c r="Q83"/>
      <c r="R83"/>
      <c r="S83"/>
      <c r="T83"/>
    </row>
    <row r="84" spans="1:20">
      <c r="A84"/>
      <c r="B84"/>
      <c r="C84"/>
      <c r="D84"/>
      <c r="E84"/>
      <c r="F84"/>
      <c r="G84"/>
      <c r="H84"/>
      <c r="I84"/>
      <c r="J84"/>
      <c r="K84"/>
      <c r="L84"/>
      <c r="M84"/>
      <c r="N84"/>
      <c r="O84"/>
      <c r="P84"/>
      <c r="Q84"/>
      <c r="R84"/>
      <c r="S84"/>
      <c r="T84"/>
    </row>
    <row r="85" spans="1:20">
      <c r="A85"/>
      <c r="B85"/>
      <c r="C85"/>
      <c r="D85"/>
      <c r="E85"/>
      <c r="F85"/>
      <c r="G85"/>
      <c r="H85"/>
      <c r="I85"/>
      <c r="J85"/>
      <c r="K85"/>
      <c r="L85"/>
      <c r="M85"/>
      <c r="N85"/>
      <c r="O85"/>
      <c r="P85"/>
      <c r="Q85"/>
      <c r="R85"/>
      <c r="S85"/>
      <c r="T85"/>
    </row>
    <row r="86" spans="1:20">
      <c r="A86"/>
      <c r="B86"/>
      <c r="C86"/>
      <c r="D86"/>
      <c r="E86"/>
      <c r="F86"/>
      <c r="G86"/>
      <c r="H86"/>
      <c r="I86"/>
      <c r="J86"/>
      <c r="K86"/>
      <c r="L86"/>
      <c r="M86"/>
      <c r="N86"/>
      <c r="O86"/>
      <c r="P86"/>
      <c r="Q86"/>
      <c r="R86"/>
      <c r="S86"/>
      <c r="T86"/>
    </row>
    <row r="87" spans="1:20">
      <c r="A87"/>
      <c r="B87"/>
      <c r="C87"/>
      <c r="D87"/>
      <c r="E87"/>
      <c r="F87"/>
      <c r="G87"/>
      <c r="H87"/>
      <c r="I87"/>
      <c r="J87"/>
      <c r="K87"/>
      <c r="L87"/>
      <c r="M87"/>
      <c r="N87"/>
      <c r="O87"/>
      <c r="P87"/>
      <c r="Q87"/>
      <c r="R87"/>
      <c r="S87"/>
      <c r="T87"/>
    </row>
    <row r="88" spans="1:20">
      <c r="A88"/>
      <c r="B88"/>
      <c r="C88"/>
      <c r="D88"/>
      <c r="E88"/>
      <c r="F88"/>
      <c r="G88"/>
      <c r="H88"/>
      <c r="I88"/>
      <c r="J88"/>
      <c r="K88"/>
      <c r="L88"/>
      <c r="M88"/>
      <c r="N88"/>
      <c r="O88"/>
      <c r="P88"/>
      <c r="Q88"/>
      <c r="R88"/>
      <c r="S88"/>
      <c r="T88"/>
    </row>
    <row r="89" spans="1:20">
      <c r="A89"/>
      <c r="B89"/>
      <c r="C89"/>
      <c r="D89"/>
      <c r="E89"/>
      <c r="F89"/>
      <c r="G89"/>
      <c r="H89"/>
      <c r="I89"/>
      <c r="J89"/>
      <c r="K89"/>
      <c r="L89"/>
      <c r="M89"/>
      <c r="N89"/>
      <c r="O89"/>
      <c r="P89"/>
      <c r="Q89"/>
      <c r="R89"/>
      <c r="S89"/>
      <c r="T89"/>
    </row>
    <row r="90" spans="1:20">
      <c r="A90"/>
      <c r="B90"/>
      <c r="C90"/>
      <c r="D90"/>
      <c r="E90"/>
      <c r="F90"/>
      <c r="G90"/>
      <c r="H90"/>
      <c r="I90"/>
      <c r="J90"/>
      <c r="K90"/>
      <c r="L90"/>
      <c r="M90"/>
      <c r="N90"/>
      <c r="O90"/>
      <c r="P90"/>
      <c r="Q90"/>
      <c r="R90"/>
      <c r="S90"/>
      <c r="T90"/>
    </row>
    <row r="91" spans="1:20">
      <c r="A91"/>
      <c r="B91"/>
      <c r="C91"/>
      <c r="D91"/>
      <c r="E91"/>
      <c r="F91"/>
      <c r="G91"/>
      <c r="H91"/>
      <c r="I91"/>
      <c r="J91"/>
      <c r="K91"/>
      <c r="L91"/>
      <c r="M91"/>
      <c r="N91"/>
      <c r="O91"/>
      <c r="P91"/>
      <c r="Q91"/>
      <c r="R91"/>
      <c r="S91"/>
      <c r="T91"/>
    </row>
    <row r="92" spans="1:20">
      <c r="A92"/>
      <c r="B92"/>
      <c r="C92"/>
      <c r="D92"/>
      <c r="E92"/>
      <c r="F92"/>
      <c r="G92"/>
      <c r="H92"/>
      <c r="I92"/>
      <c r="J92"/>
      <c r="K92"/>
      <c r="L92"/>
      <c r="M92"/>
      <c r="N92"/>
      <c r="O92"/>
      <c r="P92"/>
      <c r="Q92"/>
      <c r="R92"/>
      <c r="S92"/>
      <c r="T92"/>
    </row>
    <row r="93" spans="1:20">
      <c r="A93"/>
      <c r="B93"/>
      <c r="C93"/>
      <c r="D93"/>
      <c r="E93"/>
      <c r="F93"/>
      <c r="G93"/>
      <c r="H93"/>
      <c r="I93"/>
      <c r="J93"/>
      <c r="K93"/>
      <c r="L93"/>
      <c r="M93"/>
      <c r="N93"/>
      <c r="O93"/>
      <c r="P93"/>
      <c r="Q93"/>
      <c r="R93"/>
      <c r="S93"/>
      <c r="T93"/>
    </row>
    <row r="94" spans="1:20">
      <c r="A94"/>
      <c r="B94"/>
      <c r="C94"/>
      <c r="D94"/>
      <c r="E94"/>
      <c r="F94"/>
      <c r="G94"/>
      <c r="H94"/>
      <c r="I94"/>
      <c r="J94"/>
      <c r="K94"/>
      <c r="L94"/>
      <c r="M94"/>
      <c r="N94"/>
      <c r="O94"/>
      <c r="P94"/>
      <c r="Q94"/>
      <c r="R94"/>
      <c r="S94"/>
      <c r="T94"/>
    </row>
    <row r="95" spans="1:20">
      <c r="A95"/>
      <c r="B95"/>
      <c r="C95"/>
      <c r="D95"/>
      <c r="E95"/>
      <c r="F95"/>
      <c r="G95"/>
      <c r="H95"/>
      <c r="I95"/>
      <c r="J95"/>
      <c r="K95"/>
      <c r="L95"/>
      <c r="M95"/>
      <c r="N95"/>
      <c r="O95"/>
      <c r="P95"/>
      <c r="Q95"/>
      <c r="R95"/>
      <c r="S95"/>
      <c r="T95"/>
    </row>
    <row r="96" spans="1:20">
      <c r="A96"/>
      <c r="B96"/>
      <c r="C96"/>
      <c r="D96"/>
      <c r="E96"/>
      <c r="F96"/>
      <c r="G96"/>
      <c r="H96"/>
      <c r="I96"/>
      <c r="J96"/>
      <c r="K96"/>
      <c r="L96"/>
      <c r="M96"/>
      <c r="N96"/>
      <c r="O96"/>
      <c r="P96"/>
      <c r="Q96"/>
      <c r="R96"/>
      <c r="S96"/>
      <c r="T96"/>
    </row>
    <row r="97" spans="1:20">
      <c r="A97"/>
      <c r="B97"/>
      <c r="C97"/>
      <c r="D97"/>
      <c r="E97"/>
      <c r="F97"/>
      <c r="G97"/>
      <c r="H97"/>
      <c r="I97"/>
      <c r="J97"/>
      <c r="K97"/>
      <c r="L97"/>
      <c r="M97"/>
      <c r="N97"/>
      <c r="O97"/>
      <c r="P97"/>
      <c r="Q97"/>
      <c r="R97"/>
      <c r="S97"/>
      <c r="T97"/>
    </row>
    <row r="98" spans="1:20">
      <c r="A98"/>
      <c r="B98"/>
      <c r="C98"/>
      <c r="D98"/>
      <c r="E98"/>
      <c r="F98"/>
      <c r="G98"/>
      <c r="H98"/>
      <c r="I98"/>
      <c r="J98"/>
      <c r="K98"/>
      <c r="L98"/>
      <c r="M98"/>
      <c r="N98"/>
      <c r="O98"/>
      <c r="P98"/>
      <c r="Q98"/>
      <c r="R98"/>
      <c r="S98"/>
      <c r="T98"/>
    </row>
    <row r="99" spans="1:20">
      <c r="A99"/>
      <c r="B99"/>
      <c r="C99"/>
      <c r="D99"/>
      <c r="E99"/>
      <c r="F99"/>
      <c r="G99"/>
      <c r="H99"/>
      <c r="I99"/>
      <c r="J99"/>
      <c r="K99"/>
      <c r="L99"/>
      <c r="M99"/>
      <c r="N99"/>
      <c r="O99"/>
      <c r="P99"/>
      <c r="Q99"/>
      <c r="R99"/>
      <c r="S99"/>
      <c r="T99"/>
    </row>
    <row r="100" spans="1:20">
      <c r="A100"/>
      <c r="B100"/>
      <c r="C100"/>
      <c r="D100"/>
      <c r="E100"/>
      <c r="F100"/>
      <c r="G100"/>
      <c r="H100"/>
      <c r="I100"/>
      <c r="J100"/>
      <c r="K100"/>
      <c r="L100"/>
      <c r="M100"/>
      <c r="N100"/>
      <c r="O100"/>
      <c r="P100"/>
      <c r="Q100"/>
      <c r="R100"/>
      <c r="S100"/>
      <c r="T100"/>
    </row>
    <row r="101" spans="1:20">
      <c r="A101"/>
      <c r="B101"/>
      <c r="C101"/>
      <c r="D101"/>
      <c r="E101"/>
      <c r="F101"/>
      <c r="G101"/>
      <c r="H101"/>
      <c r="I101"/>
      <c r="J101"/>
      <c r="K101"/>
      <c r="L101"/>
      <c r="M101"/>
      <c r="N101"/>
      <c r="O101"/>
      <c r="P101"/>
      <c r="Q101"/>
      <c r="R101"/>
      <c r="S101"/>
      <c r="T101"/>
    </row>
    <row r="102" spans="1:20">
      <c r="A102"/>
      <c r="B102"/>
      <c r="C102"/>
      <c r="D102"/>
      <c r="E102"/>
      <c r="F102"/>
      <c r="G102"/>
      <c r="H102"/>
      <c r="I102"/>
      <c r="J102"/>
      <c r="K102"/>
      <c r="L102"/>
      <c r="M102"/>
      <c r="N102"/>
      <c r="O102"/>
      <c r="P102"/>
      <c r="Q102"/>
      <c r="R102"/>
      <c r="S102"/>
      <c r="T102"/>
    </row>
    <row r="103" spans="1:20">
      <c r="A103"/>
      <c r="B103"/>
      <c r="C103"/>
      <c r="D103"/>
      <c r="E103"/>
      <c r="F103"/>
      <c r="G103"/>
      <c r="H103"/>
      <c r="I103"/>
      <c r="J103"/>
      <c r="K103"/>
      <c r="L103"/>
      <c r="M103"/>
      <c r="N103"/>
      <c r="O103"/>
      <c r="P103"/>
      <c r="Q103"/>
      <c r="R103"/>
      <c r="S103"/>
      <c r="T103"/>
    </row>
    <row r="104" spans="1:20">
      <c r="A104"/>
      <c r="B104"/>
      <c r="C104"/>
      <c r="D104"/>
      <c r="E104"/>
      <c r="F104"/>
      <c r="G104"/>
      <c r="H104"/>
      <c r="I104"/>
      <c r="J104"/>
      <c r="K104"/>
      <c r="L104"/>
      <c r="M104"/>
      <c r="N104"/>
      <c r="O104"/>
      <c r="P104"/>
      <c r="Q104"/>
      <c r="R104"/>
      <c r="S104"/>
      <c r="T104"/>
    </row>
    <row r="105" spans="1:20">
      <c r="A105"/>
      <c r="B105"/>
      <c r="C105"/>
      <c r="D105"/>
      <c r="E105"/>
      <c r="F105"/>
      <c r="G105"/>
      <c r="H105"/>
      <c r="I105"/>
      <c r="J105"/>
      <c r="K105"/>
      <c r="L105"/>
      <c r="M105"/>
      <c r="N105"/>
      <c r="O105"/>
      <c r="P105"/>
      <c r="Q105"/>
      <c r="R105"/>
      <c r="S105"/>
      <c r="T105"/>
    </row>
    <row r="106" spans="1:20">
      <c r="A106"/>
      <c r="B106"/>
      <c r="C106"/>
      <c r="D106"/>
      <c r="E106"/>
      <c r="F106"/>
      <c r="G106"/>
      <c r="H106"/>
      <c r="I106"/>
      <c r="J106"/>
      <c r="K106"/>
      <c r="L106"/>
      <c r="M106"/>
      <c r="N106"/>
      <c r="O106"/>
      <c r="P106"/>
      <c r="Q106"/>
      <c r="R106"/>
      <c r="S106"/>
      <c r="T106"/>
    </row>
    <row r="107" spans="1:20">
      <c r="A107"/>
      <c r="B107"/>
      <c r="C107"/>
      <c r="D107"/>
      <c r="E107"/>
      <c r="F107"/>
      <c r="G107"/>
      <c r="H107"/>
      <c r="I107"/>
      <c r="J107"/>
      <c r="K107"/>
      <c r="L107"/>
      <c r="M107"/>
      <c r="N107"/>
      <c r="O107"/>
      <c r="P107"/>
      <c r="Q107"/>
      <c r="R107"/>
      <c r="S107"/>
      <c r="T107"/>
    </row>
    <row r="108" spans="1:20">
      <c r="A108"/>
      <c r="B108"/>
      <c r="C108"/>
      <c r="D108"/>
      <c r="E108"/>
      <c r="F108"/>
      <c r="G108"/>
      <c r="H108"/>
      <c r="I108"/>
      <c r="J108"/>
      <c r="K108"/>
      <c r="L108"/>
      <c r="M108"/>
      <c r="N108"/>
      <c r="O108"/>
      <c r="P108"/>
      <c r="Q108"/>
      <c r="R108"/>
      <c r="S108"/>
      <c r="T108"/>
    </row>
    <row r="109" spans="1:20">
      <c r="A109"/>
      <c r="B109"/>
      <c r="C109"/>
      <c r="D109"/>
      <c r="E109"/>
      <c r="F109"/>
      <c r="G109"/>
      <c r="H109"/>
      <c r="I109"/>
      <c r="J109"/>
      <c r="K109"/>
      <c r="L109"/>
      <c r="M109"/>
      <c r="N109"/>
      <c r="O109"/>
      <c r="P109"/>
      <c r="Q109"/>
      <c r="R109"/>
      <c r="S109"/>
      <c r="T109"/>
    </row>
    <row r="110" spans="1:20">
      <c r="A110"/>
      <c r="B110"/>
      <c r="C110"/>
      <c r="D110"/>
      <c r="E110"/>
      <c r="F110"/>
      <c r="G110"/>
      <c r="H110"/>
      <c r="I110"/>
      <c r="J110"/>
      <c r="K110"/>
      <c r="L110"/>
      <c r="M110"/>
      <c r="N110"/>
      <c r="O110"/>
      <c r="P110"/>
      <c r="Q110"/>
      <c r="R110"/>
      <c r="S110"/>
      <c r="T110"/>
    </row>
    <row r="111" spans="1:20">
      <c r="A111"/>
      <c r="B111"/>
      <c r="C111"/>
      <c r="D111"/>
      <c r="E111"/>
      <c r="F111"/>
      <c r="G111"/>
      <c r="H111"/>
      <c r="I111"/>
      <c r="J111"/>
      <c r="K111"/>
      <c r="L111"/>
      <c r="M111"/>
      <c r="N111"/>
      <c r="O111"/>
      <c r="P111"/>
      <c r="Q111"/>
      <c r="R111"/>
      <c r="S111"/>
      <c r="T111"/>
    </row>
    <row r="112" spans="1:20">
      <c r="A112"/>
      <c r="B112"/>
      <c r="C112"/>
      <c r="D112"/>
      <c r="E112"/>
      <c r="F112"/>
      <c r="G112"/>
      <c r="H112"/>
      <c r="I112"/>
      <c r="J112"/>
      <c r="K112"/>
      <c r="L112"/>
      <c r="M112"/>
      <c r="N112"/>
      <c r="O112"/>
      <c r="P112"/>
      <c r="Q112"/>
      <c r="R112"/>
      <c r="S112"/>
      <c r="T112"/>
    </row>
    <row r="113" spans="1:20">
      <c r="A113"/>
      <c r="B113"/>
      <c r="C113"/>
      <c r="D113"/>
      <c r="E113"/>
      <c r="F113"/>
      <c r="G113"/>
      <c r="H113"/>
      <c r="I113"/>
      <c r="J113"/>
      <c r="K113"/>
      <c r="L113"/>
      <c r="M113"/>
      <c r="N113"/>
      <c r="O113"/>
      <c r="P113"/>
      <c r="Q113"/>
      <c r="R113"/>
      <c r="S113"/>
      <c r="T113"/>
    </row>
    <row r="114" spans="1:20">
      <c r="A114"/>
      <c r="B114"/>
      <c r="C114"/>
      <c r="D114"/>
      <c r="E114"/>
      <c r="F114"/>
      <c r="G114"/>
      <c r="H114"/>
      <c r="I114"/>
      <c r="J114"/>
      <c r="K114"/>
      <c r="L114"/>
      <c r="M114"/>
      <c r="N114"/>
      <c r="O114"/>
      <c r="P114"/>
      <c r="Q114"/>
      <c r="R114"/>
      <c r="S114"/>
      <c r="T114"/>
    </row>
    <row r="115" spans="1:20">
      <c r="A115"/>
      <c r="B115"/>
      <c r="C115"/>
      <c r="D115"/>
      <c r="E115"/>
      <c r="F115"/>
      <c r="G115"/>
      <c r="H115"/>
      <c r="I115"/>
      <c r="J115"/>
      <c r="K115"/>
      <c r="L115"/>
      <c r="M115"/>
      <c r="N115"/>
      <c r="O115"/>
      <c r="P115"/>
      <c r="Q115"/>
      <c r="R115"/>
      <c r="S115"/>
      <c r="T115"/>
    </row>
    <row r="116" spans="1:20">
      <c r="A116"/>
      <c r="B116"/>
      <c r="C116"/>
      <c r="D116"/>
      <c r="E116"/>
      <c r="F116"/>
      <c r="G116"/>
      <c r="H116"/>
      <c r="I116"/>
      <c r="J116"/>
      <c r="K116"/>
      <c r="L116"/>
      <c r="M116"/>
      <c r="N116"/>
      <c r="O116"/>
      <c r="P116"/>
      <c r="Q116"/>
      <c r="R116"/>
      <c r="S116"/>
      <c r="T116"/>
    </row>
    <row r="117" spans="1:20">
      <c r="A117"/>
      <c r="B117"/>
      <c r="C117"/>
      <c r="D117"/>
      <c r="E117"/>
      <c r="F117"/>
      <c r="G117"/>
      <c r="H117"/>
      <c r="I117"/>
      <c r="J117"/>
      <c r="K117"/>
      <c r="L117"/>
      <c r="M117"/>
      <c r="N117"/>
      <c r="O117"/>
      <c r="P117"/>
      <c r="Q117"/>
      <c r="R117"/>
      <c r="S117"/>
      <c r="T117"/>
    </row>
    <row r="118" spans="1:20">
      <c r="A118"/>
      <c r="B118"/>
      <c r="C118"/>
      <c r="D118"/>
      <c r="E118"/>
      <c r="F118"/>
      <c r="G118"/>
      <c r="H118"/>
      <c r="I118"/>
      <c r="J118"/>
      <c r="K118"/>
      <c r="L118"/>
      <c r="M118"/>
      <c r="N118"/>
      <c r="O118"/>
      <c r="P118"/>
      <c r="Q118"/>
      <c r="R118"/>
      <c r="S118"/>
      <c r="T118"/>
    </row>
    <row r="119" spans="1:20">
      <c r="A119"/>
      <c r="B119"/>
      <c r="C119"/>
      <c r="D119"/>
      <c r="E119"/>
      <c r="F119"/>
      <c r="G119"/>
      <c r="H119"/>
      <c r="I119"/>
      <c r="J119"/>
      <c r="K119"/>
      <c r="L119"/>
      <c r="M119"/>
      <c r="N119"/>
      <c r="O119"/>
      <c r="P119"/>
      <c r="Q119"/>
      <c r="R119"/>
      <c r="S119"/>
      <c r="T119"/>
    </row>
    <row r="120" spans="1:20">
      <c r="A120"/>
      <c r="B120"/>
      <c r="C120"/>
      <c r="D120"/>
      <c r="E120"/>
      <c r="F120"/>
      <c r="G120"/>
      <c r="H120"/>
      <c r="I120"/>
      <c r="J120"/>
      <c r="K120"/>
      <c r="L120"/>
      <c r="M120"/>
      <c r="N120"/>
      <c r="O120"/>
      <c r="P120"/>
      <c r="Q120"/>
      <c r="R120"/>
      <c r="S120"/>
      <c r="T120"/>
    </row>
    <row r="121" spans="1:20">
      <c r="A121"/>
      <c r="B121"/>
      <c r="C121"/>
      <c r="D121"/>
      <c r="E121"/>
      <c r="F121"/>
      <c r="G121"/>
      <c r="H121"/>
      <c r="I121"/>
      <c r="J121"/>
      <c r="K121"/>
      <c r="L121"/>
      <c r="M121"/>
      <c r="N121"/>
      <c r="O121"/>
      <c r="P121"/>
      <c r="Q121"/>
      <c r="R121"/>
      <c r="S121"/>
      <c r="T121"/>
    </row>
    <row r="122" spans="1:20">
      <c r="A122"/>
      <c r="B122"/>
      <c r="C122"/>
      <c r="D122"/>
      <c r="E122"/>
      <c r="F122"/>
      <c r="G122"/>
      <c r="H122"/>
      <c r="I122"/>
      <c r="J122"/>
      <c r="K122"/>
      <c r="L122"/>
      <c r="M122"/>
      <c r="N122"/>
      <c r="O122"/>
      <c r="P122"/>
      <c r="Q122"/>
      <c r="R122"/>
      <c r="S122"/>
      <c r="T122"/>
    </row>
    <row r="123" spans="1:20">
      <c r="A123"/>
      <c r="B123"/>
      <c r="C123"/>
      <c r="D123"/>
      <c r="E123"/>
      <c r="F123"/>
      <c r="G123"/>
      <c r="H123"/>
      <c r="I123"/>
      <c r="J123"/>
      <c r="K123"/>
      <c r="L123"/>
      <c r="M123"/>
      <c r="N123"/>
      <c r="O123"/>
      <c r="P123"/>
      <c r="Q123"/>
      <c r="R123"/>
      <c r="S123"/>
      <c r="T123"/>
    </row>
    <row r="124" spans="1:20">
      <c r="A124"/>
      <c r="B124"/>
      <c r="C124"/>
      <c r="D124"/>
      <c r="E124"/>
      <c r="F124"/>
      <c r="G124"/>
      <c r="H124"/>
      <c r="I124"/>
      <c r="J124"/>
      <c r="K124"/>
      <c r="L124"/>
      <c r="M124"/>
      <c r="N124"/>
      <c r="O124"/>
      <c r="P124"/>
      <c r="Q124"/>
      <c r="R124"/>
      <c r="S124"/>
      <c r="T124"/>
    </row>
    <row r="125" spans="1:20">
      <c r="A125"/>
      <c r="B125"/>
      <c r="C125"/>
      <c r="D125"/>
      <c r="E125"/>
      <c r="F125"/>
      <c r="G125"/>
      <c r="H125"/>
      <c r="I125"/>
      <c r="J125"/>
      <c r="K125"/>
      <c r="L125"/>
      <c r="M125"/>
      <c r="N125"/>
      <c r="O125"/>
      <c r="P125"/>
      <c r="Q125"/>
      <c r="R125"/>
      <c r="S125"/>
      <c r="T125"/>
    </row>
    <row r="126" spans="1:20">
      <c r="A126"/>
      <c r="B126"/>
      <c r="C126"/>
      <c r="D126"/>
      <c r="E126"/>
      <c r="F126"/>
      <c r="G126"/>
      <c r="H126"/>
      <c r="I126"/>
      <c r="J126"/>
      <c r="K126"/>
      <c r="L126"/>
      <c r="M126"/>
      <c r="N126"/>
      <c r="O126"/>
      <c r="P126"/>
      <c r="Q126"/>
      <c r="R126"/>
      <c r="S126"/>
      <c r="T126"/>
    </row>
    <row r="127" spans="1:20">
      <c r="A127"/>
      <c r="B127"/>
      <c r="C127"/>
      <c r="D127"/>
      <c r="E127"/>
      <c r="F127"/>
      <c r="G127"/>
      <c r="H127"/>
      <c r="I127"/>
      <c r="J127"/>
      <c r="K127"/>
      <c r="L127"/>
      <c r="M127"/>
      <c r="N127"/>
      <c r="O127"/>
      <c r="P127"/>
      <c r="Q127"/>
      <c r="R127"/>
      <c r="S127"/>
      <c r="T127"/>
    </row>
    <row r="128" spans="1:20">
      <c r="A128"/>
      <c r="B128"/>
      <c r="C128"/>
      <c r="D128"/>
      <c r="E128"/>
      <c r="F128"/>
      <c r="G128"/>
      <c r="H128"/>
      <c r="I128"/>
      <c r="J128"/>
      <c r="K128"/>
      <c r="L128"/>
      <c r="M128"/>
      <c r="N128"/>
      <c r="O128"/>
      <c r="P128"/>
      <c r="Q128"/>
      <c r="R128"/>
      <c r="S128"/>
      <c r="T128"/>
    </row>
    <row r="129" spans="1:20">
      <c r="A129"/>
      <c r="B129"/>
      <c r="C129"/>
      <c r="D129"/>
      <c r="E129"/>
      <c r="F129"/>
      <c r="G129"/>
      <c r="H129"/>
      <c r="I129"/>
      <c r="J129"/>
      <c r="K129"/>
      <c r="L129"/>
      <c r="M129"/>
      <c r="N129"/>
      <c r="O129"/>
      <c r="P129"/>
      <c r="Q129"/>
      <c r="R129"/>
      <c r="S129"/>
      <c r="T129"/>
    </row>
    <row r="130" spans="1:20">
      <c r="A130"/>
      <c r="B130"/>
      <c r="C130"/>
      <c r="D130"/>
      <c r="E130"/>
      <c r="F130"/>
      <c r="G130"/>
      <c r="H130"/>
      <c r="I130"/>
      <c r="J130"/>
      <c r="K130"/>
      <c r="L130"/>
      <c r="M130"/>
      <c r="N130"/>
      <c r="O130"/>
      <c r="P130"/>
      <c r="Q130"/>
      <c r="R130"/>
      <c r="S130"/>
      <c r="T130"/>
    </row>
    <row r="131" spans="1:20">
      <c r="A131"/>
      <c r="B131"/>
      <c r="C131"/>
      <c r="D131"/>
      <c r="E131"/>
      <c r="F131"/>
      <c r="G131"/>
      <c r="H131"/>
      <c r="I131"/>
      <c r="J131"/>
      <c r="K131"/>
      <c r="L131"/>
      <c r="M131"/>
      <c r="N131"/>
      <c r="O131"/>
      <c r="P131"/>
      <c r="Q131"/>
      <c r="R131"/>
      <c r="S131"/>
      <c r="T131"/>
    </row>
    <row r="132" spans="1:20">
      <c r="A132"/>
      <c r="B132"/>
      <c r="C132"/>
      <c r="D132"/>
      <c r="E132"/>
      <c r="F132"/>
      <c r="G132"/>
      <c r="H132"/>
      <c r="I132"/>
      <c r="J132"/>
      <c r="K132"/>
      <c r="L132"/>
      <c r="M132"/>
      <c r="N132"/>
      <c r="O132"/>
      <c r="P132"/>
      <c r="Q132"/>
      <c r="R132"/>
      <c r="S132"/>
      <c r="T132"/>
    </row>
    <row r="133" spans="1:20">
      <c r="A133"/>
      <c r="B133"/>
      <c r="C133"/>
      <c r="D133"/>
      <c r="E133"/>
      <c r="F133"/>
      <c r="G133"/>
      <c r="H133"/>
      <c r="I133"/>
      <c r="J133"/>
      <c r="K133"/>
      <c r="L133"/>
      <c r="M133"/>
      <c r="N133"/>
      <c r="O133"/>
      <c r="P133"/>
      <c r="Q133"/>
      <c r="R133"/>
      <c r="S133"/>
      <c r="T133"/>
    </row>
    <row r="134" spans="1:20">
      <c r="A134"/>
      <c r="B134"/>
      <c r="C134"/>
      <c r="D134"/>
      <c r="E134"/>
      <c r="F134"/>
      <c r="G134"/>
      <c r="H134"/>
      <c r="I134"/>
      <c r="J134"/>
      <c r="K134"/>
      <c r="L134"/>
      <c r="M134"/>
      <c r="N134"/>
      <c r="O134"/>
      <c r="P134"/>
      <c r="Q134"/>
      <c r="R134"/>
      <c r="S134"/>
      <c r="T134"/>
    </row>
    <row r="135" spans="1:20">
      <c r="A135"/>
      <c r="B135"/>
      <c r="C135"/>
      <c r="D135"/>
      <c r="E135"/>
      <c r="F135"/>
      <c r="G135"/>
      <c r="H135"/>
      <c r="I135"/>
      <c r="J135"/>
      <c r="K135"/>
      <c r="L135"/>
      <c r="M135"/>
      <c r="N135"/>
      <c r="O135"/>
      <c r="P135"/>
      <c r="Q135"/>
      <c r="R135"/>
      <c r="S135"/>
      <c r="T135"/>
    </row>
    <row r="136" spans="1:20">
      <c r="A136"/>
      <c r="B136"/>
      <c r="C136"/>
      <c r="D136"/>
      <c r="E136"/>
      <c r="F136"/>
      <c r="G136"/>
      <c r="H136"/>
      <c r="I136"/>
      <c r="J136"/>
      <c r="K136"/>
      <c r="L136"/>
      <c r="M136"/>
      <c r="N136"/>
      <c r="O136"/>
      <c r="P136"/>
      <c r="Q136"/>
      <c r="R136"/>
      <c r="S136"/>
      <c r="T136"/>
    </row>
    <row r="137" spans="1:20">
      <c r="A137"/>
      <c r="B137"/>
      <c r="C137"/>
      <c r="D137"/>
      <c r="E137"/>
      <c r="F137"/>
      <c r="G137"/>
      <c r="H137"/>
      <c r="I137"/>
      <c r="J137"/>
      <c r="K137"/>
      <c r="L137"/>
      <c r="M137"/>
      <c r="N137"/>
      <c r="O137"/>
      <c r="P137"/>
      <c r="Q137"/>
      <c r="R137"/>
      <c r="S137"/>
      <c r="T137"/>
    </row>
    <row r="138" spans="1:20">
      <c r="A138"/>
      <c r="B138"/>
      <c r="C138"/>
      <c r="D138"/>
      <c r="E138"/>
      <c r="F138"/>
      <c r="G138"/>
      <c r="H138"/>
      <c r="I138"/>
      <c r="J138"/>
      <c r="K138"/>
      <c r="L138"/>
      <c r="M138"/>
      <c r="N138"/>
      <c r="O138"/>
      <c r="P138"/>
      <c r="Q138"/>
      <c r="R138"/>
      <c r="S138"/>
      <c r="T138"/>
    </row>
    <row r="139" spans="1:20">
      <c r="A139"/>
      <c r="B139"/>
      <c r="C139"/>
      <c r="D139"/>
      <c r="E139"/>
      <c r="F139"/>
      <c r="G139"/>
      <c r="H139"/>
      <c r="I139"/>
      <c r="J139"/>
      <c r="K139"/>
      <c r="L139"/>
      <c r="M139"/>
      <c r="N139"/>
      <c r="O139"/>
      <c r="P139"/>
      <c r="Q139"/>
      <c r="R139"/>
      <c r="S139"/>
      <c r="T139"/>
    </row>
    <row r="140" spans="1:20">
      <c r="A140"/>
      <c r="B140"/>
      <c r="C140"/>
      <c r="D140"/>
      <c r="E140"/>
      <c r="F140"/>
      <c r="G140"/>
      <c r="H140"/>
      <c r="I140"/>
      <c r="J140"/>
      <c r="K140"/>
      <c r="L140"/>
      <c r="M140"/>
      <c r="N140"/>
      <c r="O140"/>
      <c r="P140"/>
      <c r="Q140"/>
      <c r="R140"/>
      <c r="S140"/>
      <c r="T140"/>
    </row>
    <row r="141" spans="1:20">
      <c r="A141"/>
      <c r="B141"/>
      <c r="C141"/>
      <c r="D141"/>
      <c r="E141"/>
      <c r="F141"/>
      <c r="G141"/>
      <c r="H141"/>
      <c r="I141"/>
      <c r="J141"/>
      <c r="K141"/>
      <c r="L141"/>
      <c r="M141"/>
      <c r="N141"/>
      <c r="O141"/>
      <c r="P141"/>
      <c r="Q141"/>
      <c r="R141"/>
      <c r="S141"/>
      <c r="T141"/>
    </row>
    <row r="142" spans="1:20">
      <c r="A142"/>
      <c r="B142"/>
      <c r="C142"/>
      <c r="D142"/>
      <c r="E142"/>
      <c r="F142"/>
      <c r="G142"/>
      <c r="H142"/>
      <c r="I142"/>
      <c r="J142"/>
      <c r="K142"/>
      <c r="L142"/>
      <c r="M142"/>
      <c r="N142"/>
      <c r="O142"/>
      <c r="P142"/>
      <c r="Q142"/>
      <c r="R142"/>
      <c r="S142"/>
      <c r="T142"/>
    </row>
    <row r="143" spans="1:20">
      <c r="A143"/>
      <c r="B143"/>
      <c r="C143"/>
      <c r="D143"/>
      <c r="E143"/>
      <c r="F143"/>
      <c r="G143"/>
      <c r="H143"/>
      <c r="I143"/>
      <c r="J143"/>
      <c r="K143"/>
      <c r="L143"/>
      <c r="M143"/>
      <c r="N143"/>
      <c r="O143"/>
      <c r="P143"/>
      <c r="Q143"/>
      <c r="R143"/>
      <c r="S143"/>
      <c r="T143"/>
    </row>
    <row r="144" spans="1:20">
      <c r="A144"/>
      <c r="B144"/>
      <c r="C144"/>
      <c r="D144"/>
      <c r="E144"/>
      <c r="F144"/>
      <c r="G144"/>
      <c r="H144"/>
      <c r="I144"/>
      <c r="J144"/>
      <c r="K144"/>
      <c r="L144"/>
      <c r="M144"/>
      <c r="N144"/>
      <c r="O144"/>
      <c r="P144"/>
      <c r="Q144"/>
      <c r="R144"/>
      <c r="S144"/>
      <c r="T144"/>
    </row>
    <row r="145" spans="1:20">
      <c r="A145"/>
      <c r="B145"/>
      <c r="C145"/>
      <c r="D145"/>
      <c r="E145"/>
      <c r="F145"/>
      <c r="G145"/>
      <c r="H145"/>
      <c r="I145"/>
      <c r="J145"/>
      <c r="K145"/>
      <c r="L145"/>
      <c r="M145"/>
      <c r="N145"/>
      <c r="O145"/>
      <c r="P145"/>
      <c r="Q145"/>
      <c r="R145"/>
      <c r="S145"/>
      <c r="T145"/>
    </row>
    <row r="146" spans="1:20">
      <c r="A146"/>
      <c r="B146"/>
      <c r="C146"/>
      <c r="D146"/>
      <c r="E146"/>
      <c r="F146"/>
      <c r="O146"/>
      <c r="P146"/>
      <c r="Q146"/>
      <c r="R146"/>
      <c r="S146"/>
      <c r="T146"/>
    </row>
    <row r="147" spans="1:20">
      <c r="A147"/>
      <c r="B147"/>
      <c r="C147"/>
      <c r="D147"/>
      <c r="E147"/>
      <c r="F147"/>
      <c r="O147"/>
      <c r="P147"/>
      <c r="Q147"/>
      <c r="R147"/>
      <c r="S147"/>
      <c r="T147"/>
    </row>
    <row r="148" spans="1:20">
      <c r="A148"/>
      <c r="B148"/>
      <c r="C148"/>
      <c r="D148"/>
      <c r="E148"/>
      <c r="F148"/>
      <c r="O148"/>
      <c r="P148"/>
      <c r="Q148"/>
      <c r="R148"/>
    </row>
    <row r="149" spans="1:20">
      <c r="A149"/>
      <c r="B149"/>
      <c r="C149"/>
      <c r="D149"/>
      <c r="E149"/>
      <c r="F149"/>
      <c r="O149"/>
      <c r="P149"/>
      <c r="Q149"/>
      <c r="R149"/>
    </row>
    <row r="150" spans="1:20">
      <c r="A150"/>
      <c r="B150"/>
      <c r="C150"/>
      <c r="D150"/>
      <c r="E150"/>
      <c r="F150"/>
      <c r="O150"/>
      <c r="P150"/>
      <c r="Q150"/>
      <c r="R150"/>
    </row>
    <row r="151" spans="1:20">
      <c r="A151"/>
      <c r="B151"/>
      <c r="C151"/>
      <c r="D151"/>
      <c r="E151"/>
      <c r="F151"/>
      <c r="O151"/>
      <c r="P151"/>
      <c r="Q151"/>
      <c r="R151"/>
    </row>
    <row r="152" spans="1:20">
      <c r="A152"/>
      <c r="B152"/>
      <c r="C152"/>
      <c r="D152"/>
      <c r="E152"/>
      <c r="F152"/>
      <c r="O152"/>
      <c r="P152"/>
      <c r="Q152"/>
      <c r="R152"/>
    </row>
    <row r="153" spans="1:20">
      <c r="A153"/>
      <c r="B153"/>
      <c r="C153"/>
      <c r="D153"/>
      <c r="E153"/>
      <c r="F153"/>
      <c r="O153"/>
      <c r="P153"/>
      <c r="Q153"/>
      <c r="R153"/>
    </row>
    <row r="154" spans="1:20">
      <c r="A154"/>
      <c r="B154"/>
      <c r="C154"/>
      <c r="D154"/>
      <c r="E154"/>
      <c r="F154"/>
      <c r="O154"/>
      <c r="P154"/>
      <c r="Q154"/>
      <c r="R154"/>
    </row>
    <row r="155" spans="1:20">
      <c r="A155"/>
      <c r="B155"/>
      <c r="C155"/>
      <c r="D155"/>
      <c r="E155"/>
      <c r="F155"/>
      <c r="O155"/>
      <c r="P155"/>
      <c r="Q155"/>
      <c r="R155"/>
    </row>
    <row r="156" spans="1:20">
      <c r="A156"/>
      <c r="B156"/>
      <c r="C156"/>
      <c r="D156"/>
      <c r="E156"/>
      <c r="F156"/>
    </row>
    <row r="157" spans="1:20">
      <c r="A157"/>
      <c r="B157"/>
      <c r="C157"/>
      <c r="D157"/>
      <c r="E157"/>
      <c r="F157"/>
    </row>
    <row r="158" spans="1:20">
      <c r="A158"/>
      <c r="B158"/>
      <c r="C158"/>
      <c r="D158"/>
      <c r="E158"/>
      <c r="F158"/>
    </row>
    <row r="159" spans="1:20">
      <c r="A159"/>
      <c r="B159"/>
      <c r="C159"/>
      <c r="D159"/>
      <c r="E159"/>
      <c r="F159"/>
    </row>
    <row r="160" spans="1:20">
      <c r="A160"/>
      <c r="B160"/>
      <c r="C160"/>
      <c r="D160"/>
      <c r="E160"/>
      <c r="F160"/>
    </row>
    <row r="161" spans="1:6">
      <c r="A161"/>
      <c r="B161"/>
      <c r="C161"/>
      <c r="D161"/>
      <c r="E161"/>
      <c r="F161"/>
    </row>
    <row r="162" spans="1:6">
      <c r="A162"/>
      <c r="B162"/>
      <c r="C162"/>
      <c r="D162"/>
      <c r="E162"/>
      <c r="F162"/>
    </row>
    <row r="163" spans="1:6">
      <c r="A163"/>
      <c r="B163"/>
      <c r="C163"/>
      <c r="D163"/>
      <c r="E163"/>
      <c r="F163"/>
    </row>
    <row r="164" spans="1:6">
      <c r="A164"/>
      <c r="B164"/>
      <c r="C164"/>
      <c r="D164"/>
      <c r="E164"/>
      <c r="F164"/>
    </row>
    <row r="165" spans="1:6">
      <c r="A165"/>
      <c r="B165"/>
      <c r="C165"/>
      <c r="D165"/>
      <c r="E165"/>
      <c r="F165"/>
    </row>
    <row r="166" spans="1:6">
      <c r="A166"/>
      <c r="B166"/>
      <c r="C166"/>
      <c r="D166"/>
      <c r="E166"/>
      <c r="F166"/>
    </row>
    <row r="167" spans="1:6">
      <c r="A167"/>
      <c r="B167"/>
      <c r="C167"/>
      <c r="D167"/>
      <c r="E167"/>
      <c r="F167"/>
    </row>
    <row r="168" spans="1:6">
      <c r="A168"/>
      <c r="B168"/>
      <c r="C168"/>
      <c r="D168"/>
      <c r="E168"/>
      <c r="F168"/>
    </row>
    <row r="169" spans="1:6">
      <c r="A169"/>
      <c r="B169"/>
      <c r="C169"/>
      <c r="D169"/>
      <c r="E169"/>
      <c r="F169"/>
    </row>
    <row r="170" spans="1:6">
      <c r="A170"/>
      <c r="B170"/>
      <c r="C170"/>
      <c r="D170"/>
      <c r="E170"/>
      <c r="F170"/>
    </row>
    <row r="171" spans="1:6">
      <c r="A171"/>
      <c r="B171"/>
      <c r="C171"/>
      <c r="D171"/>
      <c r="E171"/>
      <c r="F171"/>
    </row>
    <row r="172" spans="1:6">
      <c r="A172"/>
      <c r="B172"/>
      <c r="C172"/>
      <c r="D172"/>
      <c r="E172"/>
      <c r="F172"/>
    </row>
    <row r="173" spans="1:6">
      <c r="A173"/>
      <c r="B173"/>
      <c r="C173"/>
      <c r="D173"/>
      <c r="E173"/>
      <c r="F173"/>
    </row>
    <row r="174" spans="1:6">
      <c r="A174"/>
      <c r="B174"/>
      <c r="C174"/>
      <c r="D174"/>
      <c r="E174"/>
      <c r="F174"/>
    </row>
    <row r="175" spans="1:6">
      <c r="A175"/>
      <c r="B175"/>
      <c r="C175"/>
      <c r="D175"/>
      <c r="E175"/>
      <c r="F175"/>
    </row>
    <row r="176" spans="1:6">
      <c r="A176"/>
      <c r="B176"/>
      <c r="C176"/>
      <c r="D176"/>
      <c r="E176"/>
      <c r="F176"/>
    </row>
    <row r="177" spans="1:6">
      <c r="A177"/>
      <c r="B177"/>
      <c r="C177"/>
      <c r="D177"/>
      <c r="E177"/>
      <c r="F177"/>
    </row>
    <row r="178" spans="1:6">
      <c r="A178"/>
      <c r="B178"/>
      <c r="C178"/>
      <c r="D178"/>
      <c r="E178"/>
      <c r="F178"/>
    </row>
    <row r="179" spans="1:6">
      <c r="A179"/>
      <c r="B179"/>
      <c r="C179"/>
      <c r="D179"/>
      <c r="E179"/>
      <c r="F179"/>
    </row>
    <row r="180" spans="1:6">
      <c r="A180"/>
      <c r="B180"/>
      <c r="C180"/>
      <c r="D180"/>
      <c r="E180"/>
      <c r="F180"/>
    </row>
    <row r="181" spans="1:6">
      <c r="A181"/>
      <c r="B181"/>
      <c r="C181"/>
      <c r="D181"/>
      <c r="E181"/>
      <c r="F181"/>
    </row>
    <row r="182" spans="1:6">
      <c r="A182"/>
      <c r="B182"/>
      <c r="C182"/>
      <c r="D182"/>
      <c r="E182"/>
      <c r="F182"/>
    </row>
    <row r="183" spans="1:6">
      <c r="A183"/>
      <c r="B183"/>
      <c r="C183"/>
      <c r="D183"/>
      <c r="E183"/>
      <c r="F183"/>
    </row>
    <row r="184" spans="1:6">
      <c r="A184"/>
      <c r="B184"/>
      <c r="C184"/>
      <c r="D184"/>
      <c r="E184"/>
      <c r="F184"/>
    </row>
    <row r="185" spans="1:6">
      <c r="A185"/>
      <c r="B185"/>
      <c r="C185"/>
      <c r="D185"/>
      <c r="E185"/>
      <c r="F185"/>
    </row>
    <row r="186" spans="1:6">
      <c r="A186"/>
      <c r="B186"/>
      <c r="C186"/>
      <c r="D186"/>
      <c r="E186"/>
      <c r="F186"/>
    </row>
    <row r="187" spans="1:6">
      <c r="A187"/>
      <c r="B187"/>
      <c r="C187"/>
      <c r="D187"/>
      <c r="E187"/>
      <c r="F187"/>
    </row>
    <row r="188" spans="1:6">
      <c r="A188"/>
      <c r="B188"/>
      <c r="C188"/>
      <c r="D188"/>
      <c r="E188"/>
      <c r="F188"/>
    </row>
    <row r="189" spans="1:6">
      <c r="A189"/>
      <c r="B189"/>
      <c r="C189"/>
      <c r="D189"/>
      <c r="E189"/>
      <c r="F189"/>
    </row>
    <row r="190" spans="1:6">
      <c r="A190"/>
      <c r="B190"/>
      <c r="C190"/>
      <c r="D190"/>
      <c r="E190"/>
      <c r="F190"/>
    </row>
    <row r="191" spans="1:6">
      <c r="A191"/>
      <c r="B191"/>
      <c r="C191"/>
      <c r="D191"/>
      <c r="E191"/>
      <c r="F191"/>
    </row>
    <row r="192" spans="1:6">
      <c r="A192"/>
      <c r="B192"/>
      <c r="C192"/>
      <c r="D192"/>
      <c r="E192"/>
      <c r="F192"/>
    </row>
    <row r="193" spans="1:6">
      <c r="A193"/>
      <c r="B193"/>
      <c r="C193"/>
      <c r="D193"/>
      <c r="E193"/>
      <c r="F193"/>
    </row>
    <row r="194" spans="1:6">
      <c r="A194"/>
      <c r="B194"/>
      <c r="C194"/>
      <c r="D194"/>
      <c r="E194"/>
      <c r="F194"/>
    </row>
    <row r="195" spans="1:6">
      <c r="A195"/>
      <c r="B195"/>
      <c r="C195"/>
      <c r="D195"/>
      <c r="E195"/>
      <c r="F195"/>
    </row>
    <row r="196" spans="1:6">
      <c r="A196"/>
      <c r="B196"/>
      <c r="C196"/>
      <c r="D196"/>
      <c r="E196"/>
      <c r="F196"/>
    </row>
    <row r="197" spans="1:6">
      <c r="A197"/>
      <c r="B197"/>
      <c r="C197"/>
      <c r="D197"/>
      <c r="E197"/>
      <c r="F197"/>
    </row>
    <row r="198" spans="1:6">
      <c r="A198"/>
      <c r="B198"/>
      <c r="C198"/>
      <c r="D198"/>
      <c r="E198"/>
      <c r="F198"/>
    </row>
    <row r="199" spans="1:6">
      <c r="A199"/>
      <c r="B199"/>
      <c r="C199"/>
      <c r="D199"/>
      <c r="E199"/>
      <c r="F199"/>
    </row>
    <row r="200" spans="1:6">
      <c r="A200"/>
      <c r="B200"/>
      <c r="C200"/>
      <c r="D200"/>
      <c r="E200"/>
      <c r="F200"/>
    </row>
    <row r="201" spans="1:6">
      <c r="A201"/>
      <c r="B201"/>
      <c r="C201"/>
      <c r="D201"/>
      <c r="E201"/>
      <c r="F201"/>
    </row>
    <row r="202" spans="1:6">
      <c r="A202"/>
      <c r="B202"/>
      <c r="C202"/>
      <c r="D202"/>
      <c r="E202"/>
      <c r="F202"/>
    </row>
    <row r="203" spans="1:6">
      <c r="A203"/>
      <c r="B203"/>
      <c r="C203"/>
      <c r="D203"/>
      <c r="E203"/>
      <c r="F203"/>
    </row>
    <row r="204" spans="1:6">
      <c r="A204"/>
      <c r="B204"/>
      <c r="C204"/>
      <c r="D204"/>
      <c r="E204"/>
      <c r="F204"/>
    </row>
    <row r="205" spans="1:6">
      <c r="A205"/>
      <c r="B205"/>
      <c r="C205"/>
      <c r="D205"/>
      <c r="E205"/>
      <c r="F205"/>
    </row>
    <row r="206" spans="1:6">
      <c r="A206"/>
      <c r="B206"/>
      <c r="C206"/>
      <c r="D206"/>
      <c r="E206"/>
      <c r="F206"/>
    </row>
    <row r="207" spans="1:6">
      <c r="A207"/>
      <c r="B207"/>
      <c r="C207"/>
      <c r="D207"/>
      <c r="E207"/>
      <c r="F207"/>
    </row>
    <row r="208" spans="1:6">
      <c r="A208"/>
      <c r="B208"/>
      <c r="C208"/>
      <c r="D208"/>
      <c r="E208"/>
      <c r="F208"/>
    </row>
    <row r="209" spans="1:6">
      <c r="A209"/>
      <c r="B209"/>
      <c r="C209"/>
      <c r="D209"/>
      <c r="E209"/>
      <c r="F209"/>
    </row>
    <row r="210" spans="1:6">
      <c r="A210"/>
      <c r="B210"/>
      <c r="C210"/>
      <c r="D210"/>
      <c r="E210"/>
      <c r="F210"/>
    </row>
    <row r="211" spans="1:6">
      <c r="A211"/>
      <c r="B211"/>
      <c r="C211"/>
      <c r="D211"/>
      <c r="E211"/>
      <c r="F211"/>
    </row>
    <row r="212" spans="1:6">
      <c r="A212"/>
      <c r="B212"/>
      <c r="C212"/>
      <c r="D212"/>
      <c r="E212"/>
      <c r="F212"/>
    </row>
    <row r="213" spans="1:6">
      <c r="A213"/>
      <c r="B213"/>
      <c r="C213"/>
      <c r="D213"/>
      <c r="E213"/>
      <c r="F213"/>
    </row>
    <row r="214" spans="1:6">
      <c r="A214"/>
      <c r="B214"/>
      <c r="C214"/>
      <c r="D214"/>
      <c r="E214"/>
      <c r="F214"/>
    </row>
    <row r="215" spans="1:6">
      <c r="A215"/>
      <c r="B215"/>
      <c r="C215"/>
      <c r="D215"/>
      <c r="E215"/>
      <c r="F215"/>
    </row>
    <row r="216" spans="1:6">
      <c r="A216"/>
      <c r="B216"/>
      <c r="C216"/>
      <c r="D216"/>
      <c r="E216"/>
      <c r="F216"/>
    </row>
    <row r="217" spans="1:6">
      <c r="A217"/>
      <c r="B217"/>
      <c r="C217"/>
      <c r="D217"/>
      <c r="E217"/>
      <c r="F217"/>
    </row>
    <row r="218" spans="1:6">
      <c r="A218"/>
      <c r="B218"/>
      <c r="C218"/>
      <c r="D218"/>
      <c r="E218"/>
      <c r="F218"/>
    </row>
    <row r="219" spans="1:6">
      <c r="A219"/>
      <c r="B219"/>
      <c r="C219"/>
      <c r="D219"/>
      <c r="E219"/>
      <c r="F219"/>
    </row>
    <row r="220" spans="1:6">
      <c r="A220"/>
      <c r="B220"/>
      <c r="C220"/>
      <c r="D220"/>
      <c r="E220"/>
      <c r="F220"/>
    </row>
    <row r="221" spans="1:6">
      <c r="A221"/>
      <c r="B221"/>
      <c r="C221"/>
      <c r="D221"/>
      <c r="E221"/>
      <c r="F221"/>
    </row>
    <row r="222" spans="1:6">
      <c r="A222"/>
      <c r="B222"/>
      <c r="C222"/>
      <c r="D222"/>
      <c r="E222"/>
      <c r="F222"/>
    </row>
    <row r="223" spans="1:6">
      <c r="A223"/>
      <c r="B223"/>
      <c r="C223"/>
      <c r="D223"/>
      <c r="E223"/>
      <c r="F223"/>
    </row>
    <row r="224" spans="1:6">
      <c r="A224"/>
      <c r="B224"/>
      <c r="C224"/>
      <c r="D224"/>
      <c r="E224"/>
      <c r="F224"/>
    </row>
    <row r="225" spans="1:6">
      <c r="A225"/>
      <c r="B225"/>
      <c r="C225"/>
      <c r="D225"/>
      <c r="E225"/>
      <c r="F225"/>
    </row>
    <row r="226" spans="1:6">
      <c r="A226"/>
      <c r="B226"/>
      <c r="C226"/>
      <c r="D226"/>
      <c r="E226"/>
      <c r="F226"/>
    </row>
    <row r="227" spans="1:6">
      <c r="A227"/>
      <c r="B227"/>
      <c r="C227"/>
      <c r="D227"/>
      <c r="E227"/>
      <c r="F227"/>
    </row>
    <row r="228" spans="1:6">
      <c r="A228"/>
      <c r="B228"/>
      <c r="C228"/>
      <c r="D228"/>
      <c r="E228"/>
      <c r="F228"/>
    </row>
    <row r="229" spans="1:6">
      <c r="A229"/>
      <c r="B229"/>
      <c r="C229"/>
      <c r="D229"/>
      <c r="E229"/>
      <c r="F229"/>
    </row>
    <row r="230" spans="1:6">
      <c r="A230"/>
      <c r="B230"/>
      <c r="C230"/>
      <c r="D230"/>
      <c r="E230"/>
      <c r="F230"/>
    </row>
    <row r="231" spans="1:6">
      <c r="A231"/>
      <c r="B231"/>
      <c r="C231"/>
      <c r="D231"/>
      <c r="E231"/>
      <c r="F231"/>
    </row>
    <row r="232" spans="1:6">
      <c r="A232"/>
      <c r="B232"/>
      <c r="C232"/>
      <c r="D232"/>
      <c r="E232"/>
      <c r="F232"/>
    </row>
    <row r="233" spans="1:6">
      <c r="A233"/>
      <c r="B233"/>
      <c r="C233"/>
      <c r="D233"/>
      <c r="E233"/>
      <c r="F23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6235-AEBD-45A1-A11A-C9AD6C3C7043}">
  <sheetPr codeName="Sheet7"/>
  <dimension ref="A1:AB78"/>
  <sheetViews>
    <sheetView workbookViewId="0">
      <selection activeCell="Q3" sqref="Q3"/>
    </sheetView>
  </sheetViews>
  <sheetFormatPr defaultRowHeight="14.25"/>
  <cols>
    <col min="2" max="2" width="9.1328125" style="14"/>
    <col min="3" max="3" width="35" customWidth="1"/>
    <col min="4" max="4" width="13.59765625" hidden="1" customWidth="1"/>
    <col min="5" max="5" width="14.1328125" hidden="1" customWidth="1"/>
    <col min="6" max="9" width="0" hidden="1" customWidth="1"/>
    <col min="10" max="10" width="17.1328125" hidden="1" customWidth="1"/>
    <col min="11" max="11" width="13.59765625" customWidth="1"/>
    <col min="13" max="13" width="13.86328125" customWidth="1"/>
    <col min="14" max="14" width="14.3984375" customWidth="1"/>
    <col min="15" max="15" width="14.1328125" customWidth="1"/>
    <col min="16" max="16" width="38.86328125" customWidth="1"/>
    <col min="17" max="17" width="15.1328125" customWidth="1"/>
    <col min="18" max="18" width="12.59765625" customWidth="1"/>
    <col min="19" max="19" width="16.1328125" customWidth="1"/>
    <col min="20" max="20" width="14.86328125" customWidth="1"/>
    <col min="21" max="21" width="15.59765625" customWidth="1"/>
    <col min="22" max="22" width="18.59765625" customWidth="1"/>
    <col min="28" max="28" width="57.73046875" customWidth="1"/>
  </cols>
  <sheetData>
    <row r="1" spans="1:28" ht="15.75">
      <c r="A1" s="71" t="s">
        <v>144</v>
      </c>
      <c r="B1" s="105"/>
      <c r="C1" s="15" t="s">
        <v>145</v>
      </c>
      <c r="D1" s="200" t="s">
        <v>146</v>
      </c>
      <c r="E1" s="200"/>
      <c r="F1" s="201" t="s">
        <v>147</v>
      </c>
      <c r="G1" s="201"/>
      <c r="P1" s="15" t="s">
        <v>145</v>
      </c>
      <c r="Q1" s="75"/>
      <c r="R1" s="75"/>
      <c r="S1" s="75"/>
      <c r="T1" s="75"/>
      <c r="U1" s="75"/>
      <c r="V1" t="s">
        <v>148</v>
      </c>
    </row>
    <row r="2" spans="1:28" ht="42.75">
      <c r="A2" t="s">
        <v>149</v>
      </c>
      <c r="B2" s="105" t="s">
        <v>150</v>
      </c>
      <c r="C2" t="s">
        <v>151</v>
      </c>
      <c r="D2" s="15" t="s">
        <v>152</v>
      </c>
      <c r="E2" s="15" t="s">
        <v>153</v>
      </c>
      <c r="F2" s="15" t="s">
        <v>152</v>
      </c>
      <c r="G2" s="15" t="s">
        <v>153</v>
      </c>
      <c r="H2" s="15" t="s">
        <v>154</v>
      </c>
      <c r="I2" s="15" t="s">
        <v>155</v>
      </c>
      <c r="J2" s="15" t="s">
        <v>156</v>
      </c>
      <c r="K2" s="15" t="s">
        <v>157</v>
      </c>
      <c r="L2" s="15" t="s">
        <v>158</v>
      </c>
      <c r="M2" s="15" t="s">
        <v>159</v>
      </c>
      <c r="N2" s="15" t="s">
        <v>160</v>
      </c>
      <c r="O2" s="19" t="s">
        <v>161</v>
      </c>
      <c r="P2" t="s">
        <v>151</v>
      </c>
      <c r="Q2" s="75" t="s">
        <v>162</v>
      </c>
      <c r="R2" s="75" t="s">
        <v>163</v>
      </c>
      <c r="S2" s="76" t="s">
        <v>164</v>
      </c>
      <c r="T2" s="76" t="s">
        <v>165</v>
      </c>
      <c r="U2" s="76" t="s">
        <v>166</v>
      </c>
      <c r="V2" s="77" t="s">
        <v>42</v>
      </c>
      <c r="AB2" s="87" t="s">
        <v>167</v>
      </c>
    </row>
    <row r="3" spans="1:28">
      <c r="A3">
        <v>1</v>
      </c>
      <c r="B3" s="105">
        <v>1</v>
      </c>
      <c r="C3" t="s">
        <v>168</v>
      </c>
      <c r="D3" s="16"/>
      <c r="E3" s="16"/>
      <c r="F3" s="16"/>
      <c r="G3" s="16"/>
      <c r="H3" s="16"/>
      <c r="I3" s="16"/>
      <c r="J3" s="16"/>
      <c r="K3" s="78" t="str">
        <f>IF($C3='4. Board Level Worksheet'!$C$5,'4. Board Level Worksheet'!$C$18,"")</f>
        <v/>
      </c>
      <c r="L3" s="78" t="str">
        <f>IF($C3='4. Board Level Worksheet'!$C$5,'4. Board Level Worksheet'!$C$19,"")</f>
        <v/>
      </c>
      <c r="M3" s="80" t="str">
        <f>IF($C3='4. Board Level Worksheet'!$C$5,'4. Board Level Worksheet'!$C$21,"")</f>
        <v/>
      </c>
      <c r="N3" s="80" t="str">
        <f>IF($C3='4. Board Level Worksheet'!$C$5,'4. Board Level Worksheet'!$C$28,"")</f>
        <v/>
      </c>
      <c r="O3" s="80" t="str">
        <f>IF($C3='4. Board Level Worksheet'!$C$5,'4. Board Level Worksheet'!#REF!,"")</f>
        <v/>
      </c>
      <c r="P3" t="s">
        <v>168</v>
      </c>
      <c r="Q3" s="78">
        <v>0.29310000000000003</v>
      </c>
      <c r="R3" s="78">
        <v>0.29310000000000003</v>
      </c>
      <c r="S3" s="78">
        <v>0.161908</v>
      </c>
      <c r="T3" s="78">
        <v>1.7999999999999999E-2</v>
      </c>
      <c r="U3" s="79">
        <v>109</v>
      </c>
      <c r="V3" s="79">
        <f>U3*1000/1000000</f>
        <v>0.109</v>
      </c>
      <c r="AB3" s="86" t="s">
        <v>73</v>
      </c>
    </row>
    <row r="4" spans="1:28">
      <c r="A4">
        <v>2</v>
      </c>
      <c r="B4" s="105">
        <v>2</v>
      </c>
      <c r="C4" t="s">
        <v>169</v>
      </c>
      <c r="D4" s="16"/>
      <c r="E4" s="16"/>
      <c r="F4" s="16"/>
      <c r="G4" s="16"/>
      <c r="H4" s="16"/>
      <c r="I4" s="16"/>
      <c r="J4" s="16"/>
      <c r="K4" s="78" t="str">
        <f>IF($C4='4. Board Level Worksheet'!$C$5,'4. Board Level Worksheet'!$C$18,"")</f>
        <v/>
      </c>
      <c r="L4" s="78" t="str">
        <f>IF($C4='4. Board Level Worksheet'!$C$5,'4. Board Level Worksheet'!$C$19,"")</f>
        <v/>
      </c>
      <c r="M4" s="80" t="str">
        <f>IF($C4='4. Board Level Worksheet'!$C$5,'4. Board Level Worksheet'!$C$21,"")</f>
        <v/>
      </c>
      <c r="N4" s="80" t="str">
        <f>IF($C4='4. Board Level Worksheet'!$C$5,'4. Board Level Worksheet'!$C$28,"")</f>
        <v/>
      </c>
      <c r="O4" s="80" t="str">
        <f>IF($C4='4. Board Level Worksheet'!$C$5,'4. Board Level Worksheet'!#REF!,"")</f>
        <v/>
      </c>
      <c r="P4" t="s">
        <v>169</v>
      </c>
      <c r="Q4" s="78">
        <v>0.41639999999999999</v>
      </c>
      <c r="R4" s="78">
        <v>0.41639999999999999</v>
      </c>
      <c r="S4" s="78">
        <v>0.17813799999999999</v>
      </c>
      <c r="T4" s="78">
        <v>2.8000000000000001E-2</v>
      </c>
      <c r="U4" s="79">
        <v>132</v>
      </c>
      <c r="V4" s="79">
        <f t="shared" ref="V4:V67" si="0">U4*1000/1000000</f>
        <v>0.13200000000000001</v>
      </c>
      <c r="AB4" s="86" t="s">
        <v>69</v>
      </c>
    </row>
    <row r="5" spans="1:28">
      <c r="A5">
        <v>3</v>
      </c>
      <c r="B5" s="105">
        <v>3</v>
      </c>
      <c r="C5" t="s">
        <v>170</v>
      </c>
      <c r="D5" s="16"/>
      <c r="E5" s="16"/>
      <c r="F5" s="16"/>
      <c r="G5" s="16"/>
      <c r="H5" s="16"/>
      <c r="I5" s="16"/>
      <c r="J5" s="16"/>
      <c r="K5" s="78" t="str">
        <f>IF($C5='4. Board Level Worksheet'!$C$5,'4. Board Level Worksheet'!$C$18,"")</f>
        <v/>
      </c>
      <c r="L5" s="78" t="str">
        <f>IF($C5='4. Board Level Worksheet'!$C$5,'4. Board Level Worksheet'!$C$19,"")</f>
        <v/>
      </c>
      <c r="M5" s="80" t="str">
        <f>IF($C5='4. Board Level Worksheet'!$C$5,'4. Board Level Worksheet'!$C$21,"")</f>
        <v/>
      </c>
      <c r="N5" s="80" t="str">
        <f>IF($C5='4. Board Level Worksheet'!$C$5,'4. Board Level Worksheet'!$C$28,"")</f>
        <v/>
      </c>
      <c r="O5" s="80" t="str">
        <f>IF($C5='4. Board Level Worksheet'!$C$5,'4. Board Level Worksheet'!#REF!,"")</f>
        <v/>
      </c>
      <c r="P5" t="s">
        <v>170</v>
      </c>
      <c r="Q5" s="78">
        <v>0.4491</v>
      </c>
      <c r="R5" s="78">
        <v>0.4491</v>
      </c>
      <c r="S5" s="78">
        <v>0.20843600000000001</v>
      </c>
      <c r="T5" s="78">
        <v>3.4000000000000002E-2</v>
      </c>
      <c r="U5" s="79">
        <v>900</v>
      </c>
      <c r="V5" s="79">
        <f t="shared" si="0"/>
        <v>0.9</v>
      </c>
      <c r="AB5" s="86" t="s">
        <v>171</v>
      </c>
    </row>
    <row r="6" spans="1:28">
      <c r="A6">
        <v>4</v>
      </c>
      <c r="B6" s="105">
        <v>4</v>
      </c>
      <c r="C6" t="s">
        <v>172</v>
      </c>
      <c r="D6" s="16"/>
      <c r="E6" s="16"/>
      <c r="F6" s="16"/>
      <c r="G6" s="16"/>
      <c r="H6" s="16"/>
      <c r="I6" s="16"/>
      <c r="J6" s="16"/>
      <c r="K6" s="78" t="str">
        <f>IF($C6='4. Board Level Worksheet'!$C$5,'4. Board Level Worksheet'!$C$18,"")</f>
        <v/>
      </c>
      <c r="L6" s="78" t="str">
        <f>IF($C6='4. Board Level Worksheet'!$C$5,'4. Board Level Worksheet'!$C$19,"")</f>
        <v/>
      </c>
      <c r="M6" s="80" t="str">
        <f>IF($C6='4. Board Level Worksheet'!$C$5,'4. Board Level Worksheet'!$C$21,"")</f>
        <v/>
      </c>
      <c r="N6" s="80" t="str">
        <f>IF($C6='4. Board Level Worksheet'!$C$5,'4. Board Level Worksheet'!$C$28,"")</f>
        <v/>
      </c>
      <c r="O6" s="80" t="str">
        <f>IF($C6='4. Board Level Worksheet'!$C$5,'4. Board Level Worksheet'!#REF!,"")</f>
        <v/>
      </c>
      <c r="P6" t="s">
        <v>172</v>
      </c>
      <c r="Q6" s="78">
        <v>0.35620000000000002</v>
      </c>
      <c r="R6" s="78">
        <v>0.35620000000000002</v>
      </c>
      <c r="S6" s="78">
        <v>0.172157</v>
      </c>
      <c r="T6" s="78">
        <v>2.3E-2</v>
      </c>
      <c r="U6" s="79">
        <v>181</v>
      </c>
      <c r="V6" s="79">
        <f t="shared" si="0"/>
        <v>0.18099999999999999</v>
      </c>
    </row>
    <row r="7" spans="1:28">
      <c r="A7">
        <v>5</v>
      </c>
      <c r="B7" s="105" t="s">
        <v>173</v>
      </c>
      <c r="C7" t="s">
        <v>174</v>
      </c>
      <c r="D7" s="16"/>
      <c r="E7" s="16"/>
      <c r="F7" s="16"/>
      <c r="G7" s="16"/>
      <c r="H7" s="16"/>
      <c r="I7" s="16"/>
      <c r="J7" s="16"/>
      <c r="K7" s="78" t="str">
        <f>IF($C7='4. Board Level Worksheet'!$C$5,'4. Board Level Worksheet'!$C$18,"")</f>
        <v/>
      </c>
      <c r="L7" s="78" t="str">
        <f>IF($C7='4. Board Level Worksheet'!$C$5,'4. Board Level Worksheet'!$C$19,"")</f>
        <v/>
      </c>
      <c r="M7" s="80" t="str">
        <f>IF($C7='4. Board Level Worksheet'!$C$5,'4. Board Level Worksheet'!$C$21,"")</f>
        <v/>
      </c>
      <c r="N7" s="80" t="str">
        <f>IF($C7='4. Board Level Worksheet'!$C$5,'4. Board Level Worksheet'!$C$28,"")</f>
        <v/>
      </c>
      <c r="O7" s="80" t="str">
        <f>IF($C7='4. Board Level Worksheet'!$C$5,'4. Board Level Worksheet'!#REF!,"")</f>
        <v/>
      </c>
      <c r="P7" t="s">
        <v>174</v>
      </c>
      <c r="Q7" s="78">
        <v>0.1709</v>
      </c>
      <c r="R7" s="78">
        <v>0.1709</v>
      </c>
      <c r="S7" s="78">
        <v>0.101339</v>
      </c>
      <c r="T7" s="78">
        <v>1.2999999999999999E-2</v>
      </c>
      <c r="U7" s="79">
        <v>23</v>
      </c>
      <c r="V7" s="79">
        <f t="shared" si="0"/>
        <v>2.3E-2</v>
      </c>
    </row>
    <row r="8" spans="1:28">
      <c r="A8">
        <v>6</v>
      </c>
      <c r="B8" s="105" t="s">
        <v>175</v>
      </c>
      <c r="C8" t="s">
        <v>176</v>
      </c>
      <c r="D8" s="16"/>
      <c r="E8" s="16"/>
      <c r="F8" s="16"/>
      <c r="G8" s="16"/>
      <c r="H8" s="16"/>
      <c r="I8" s="16"/>
      <c r="J8" s="16"/>
      <c r="K8" s="78" t="str">
        <f>IF($C8='4. Board Level Worksheet'!$C$5,'4. Board Level Worksheet'!$C$18,"")</f>
        <v/>
      </c>
      <c r="L8" s="78" t="str">
        <f>IF($C8='4. Board Level Worksheet'!$C$5,'4. Board Level Worksheet'!$C$19,"")</f>
        <v/>
      </c>
      <c r="M8" s="80" t="str">
        <f>IF($C8='4. Board Level Worksheet'!$C$5,'4. Board Level Worksheet'!$C$21,"")</f>
        <v/>
      </c>
      <c r="N8" s="80" t="str">
        <f>IF($C8='4. Board Level Worksheet'!$C$5,'4. Board Level Worksheet'!$C$28,"")</f>
        <v/>
      </c>
      <c r="O8" s="80" t="str">
        <f>IF($C8='4. Board Level Worksheet'!$C$5,'4. Board Level Worksheet'!#REF!,"")</f>
        <v/>
      </c>
      <c r="P8" t="s">
        <v>176</v>
      </c>
      <c r="Q8" s="78">
        <v>0.1114</v>
      </c>
      <c r="R8" s="78">
        <v>0.1114</v>
      </c>
      <c r="S8" s="78">
        <v>5.1128E-2</v>
      </c>
      <c r="T8" s="78">
        <v>8.0000000000000002E-3</v>
      </c>
      <c r="U8" s="79">
        <v>19</v>
      </c>
      <c r="V8" s="79">
        <f t="shared" si="0"/>
        <v>1.9E-2</v>
      </c>
    </row>
    <row r="9" spans="1:28">
      <c r="A9">
        <v>7</v>
      </c>
      <c r="B9" s="105" t="s">
        <v>177</v>
      </c>
      <c r="C9" t="s">
        <v>178</v>
      </c>
      <c r="D9" s="16"/>
      <c r="E9" s="16"/>
      <c r="F9" s="16"/>
      <c r="G9" s="16"/>
      <c r="H9" s="16"/>
      <c r="I9" s="16"/>
      <c r="J9" s="16"/>
      <c r="K9" s="78" t="str">
        <f>IF($C9='4. Board Level Worksheet'!$C$5,'4. Board Level Worksheet'!$C$18,"")</f>
        <v/>
      </c>
      <c r="L9" s="78" t="str">
        <f>IF($C9='4. Board Level Worksheet'!$C$5,'4. Board Level Worksheet'!$C$19,"")</f>
        <v/>
      </c>
      <c r="M9" s="80" t="str">
        <f>IF($C9='4. Board Level Worksheet'!$C$5,'4. Board Level Worksheet'!$C$21,"")</f>
        <v/>
      </c>
      <c r="N9" s="80" t="str">
        <f>IF($C9='4. Board Level Worksheet'!$C$5,'4. Board Level Worksheet'!$C$28,"")</f>
        <v/>
      </c>
      <c r="O9" s="80" t="str">
        <f>IF($C9='4. Board Level Worksheet'!$C$5,'4. Board Level Worksheet'!#REF!,"")</f>
        <v/>
      </c>
      <c r="P9" t="s">
        <v>178</v>
      </c>
      <c r="Q9" s="78">
        <v>0.29380000000000001</v>
      </c>
      <c r="R9" s="78">
        <v>0.29380000000000001</v>
      </c>
      <c r="S9" s="78">
        <v>0.122324</v>
      </c>
      <c r="T9" s="78">
        <v>0.02</v>
      </c>
      <c r="U9" s="79">
        <v>26</v>
      </c>
      <c r="V9" s="79">
        <f t="shared" si="0"/>
        <v>2.5999999999999999E-2</v>
      </c>
    </row>
    <row r="10" spans="1:28">
      <c r="A10">
        <v>8</v>
      </c>
      <c r="B10" s="105" t="s">
        <v>179</v>
      </c>
      <c r="C10" t="s">
        <v>180</v>
      </c>
      <c r="D10" s="16"/>
      <c r="E10" s="16"/>
      <c r="F10" s="16"/>
      <c r="G10" s="16"/>
      <c r="H10" s="16"/>
      <c r="I10" s="16"/>
      <c r="J10" s="16"/>
      <c r="K10" s="78" t="str">
        <f>IF($C10='4. Board Level Worksheet'!$C$5,'4. Board Level Worksheet'!$C$18,"")</f>
        <v/>
      </c>
      <c r="L10" s="78" t="str">
        <f>IF($C10='4. Board Level Worksheet'!$C$5,'4. Board Level Worksheet'!$C$19,"")</f>
        <v/>
      </c>
      <c r="M10" s="80" t="str">
        <f>IF($C10='4. Board Level Worksheet'!$C$5,'4. Board Level Worksheet'!$C$21,"")</f>
        <v/>
      </c>
      <c r="N10" s="80" t="str">
        <f>IF($C10='4. Board Level Worksheet'!$C$5,'4. Board Level Worksheet'!$C$28,"")</f>
        <v/>
      </c>
      <c r="O10" s="80" t="str">
        <f>IF($C10='4. Board Level Worksheet'!$C$5,'4. Board Level Worksheet'!#REF!,"")</f>
        <v/>
      </c>
      <c r="P10" t="s">
        <v>180</v>
      </c>
      <c r="Q10" s="78">
        <v>0.1482</v>
      </c>
      <c r="R10" s="78">
        <v>0.1482</v>
      </c>
      <c r="S10" s="78">
        <v>6.2121000000000003E-2</v>
      </c>
      <c r="T10" s="78">
        <v>6.0000000000000001E-3</v>
      </c>
      <c r="U10" s="79">
        <v>10</v>
      </c>
      <c r="V10" s="79">
        <f t="shared" si="0"/>
        <v>0.01</v>
      </c>
    </row>
    <row r="11" spans="1:28">
      <c r="A11">
        <v>9</v>
      </c>
      <c r="B11" s="105">
        <v>7</v>
      </c>
      <c r="C11" t="s">
        <v>181</v>
      </c>
      <c r="D11" s="16"/>
      <c r="E11" s="16"/>
      <c r="F11" s="16"/>
      <c r="G11" s="16"/>
      <c r="H11" s="16"/>
      <c r="I11" s="16"/>
      <c r="J11" s="16"/>
      <c r="K11" s="78" t="str">
        <f>IF($C11='4. Board Level Worksheet'!$C$5,'4. Board Level Worksheet'!$C$18,"")</f>
        <v/>
      </c>
      <c r="L11" s="78" t="str">
        <f>IF($C11='4. Board Level Worksheet'!$C$5,'4. Board Level Worksheet'!$C$19,"")</f>
        <v/>
      </c>
      <c r="M11" s="80" t="str">
        <f>IF($C11='4. Board Level Worksheet'!$C$5,'4. Board Level Worksheet'!$C$21,"")</f>
        <v/>
      </c>
      <c r="N11" s="80" t="str">
        <f>IF($C11='4. Board Level Worksheet'!$C$5,'4. Board Level Worksheet'!$C$28,"")</f>
        <v/>
      </c>
      <c r="O11" s="80" t="str">
        <f>IF($C11='4. Board Level Worksheet'!$C$5,'4. Board Level Worksheet'!#REF!,"")</f>
        <v/>
      </c>
      <c r="P11" t="s">
        <v>181</v>
      </c>
      <c r="Q11" s="78">
        <v>0.45279999999999998</v>
      </c>
      <c r="R11" s="78">
        <v>0.45279999999999998</v>
      </c>
      <c r="S11" s="78">
        <v>0.26430500000000001</v>
      </c>
      <c r="T11" s="78">
        <v>4.4999999999999998E-2</v>
      </c>
      <c r="U11" s="79">
        <v>103</v>
      </c>
      <c r="V11" s="79">
        <f t="shared" si="0"/>
        <v>0.10299999999999999</v>
      </c>
    </row>
    <row r="12" spans="1:28">
      <c r="A12">
        <v>10</v>
      </c>
      <c r="B12" s="105">
        <v>8</v>
      </c>
      <c r="C12" t="s">
        <v>182</v>
      </c>
      <c r="D12" s="16"/>
      <c r="E12" s="16"/>
      <c r="F12" s="16"/>
      <c r="G12" s="16"/>
      <c r="H12" s="16"/>
      <c r="I12" s="16"/>
      <c r="J12" s="16"/>
      <c r="K12" s="78" t="str">
        <f>IF($C12='4. Board Level Worksheet'!$C$5,'4. Board Level Worksheet'!$C$18,"")</f>
        <v/>
      </c>
      <c r="L12" s="78" t="str">
        <f>IF($C12='4. Board Level Worksheet'!$C$5,'4. Board Level Worksheet'!$C$19,"")</f>
        <v/>
      </c>
      <c r="M12" s="80" t="str">
        <f>IF($C12='4. Board Level Worksheet'!$C$5,'4. Board Level Worksheet'!$C$21,"")</f>
        <v/>
      </c>
      <c r="N12" s="80" t="str">
        <f>IF($C12='4. Board Level Worksheet'!$C$5,'4. Board Level Worksheet'!$C$28,"")</f>
        <v/>
      </c>
      <c r="O12" s="80" t="str">
        <f>IF($C12='4. Board Level Worksheet'!$C$5,'4. Board Level Worksheet'!#REF!,"")</f>
        <v/>
      </c>
      <c r="P12" t="s">
        <v>182</v>
      </c>
      <c r="Q12" s="78">
        <v>0.40289999999999998</v>
      </c>
      <c r="R12" s="78">
        <v>0.40289999999999998</v>
      </c>
      <c r="S12" s="78">
        <v>0.25623600000000002</v>
      </c>
      <c r="T12" s="78">
        <v>3.4000000000000002E-2</v>
      </c>
      <c r="U12" s="79">
        <v>62</v>
      </c>
      <c r="V12" s="79">
        <f t="shared" si="0"/>
        <v>6.2E-2</v>
      </c>
    </row>
    <row r="13" spans="1:28">
      <c r="A13">
        <v>11</v>
      </c>
      <c r="B13" s="105">
        <v>9</v>
      </c>
      <c r="C13" t="s">
        <v>183</v>
      </c>
      <c r="D13" s="16"/>
      <c r="E13" s="16"/>
      <c r="F13" s="16"/>
      <c r="G13" s="16"/>
      <c r="H13" s="16"/>
      <c r="I13" s="16"/>
      <c r="J13" s="16"/>
      <c r="K13" s="78" t="str">
        <f>IF($C13='4. Board Level Worksheet'!$C$5,'4. Board Level Worksheet'!$C$18,"")</f>
        <v/>
      </c>
      <c r="L13" s="78" t="str">
        <f>IF($C13='4. Board Level Worksheet'!$C$5,'4. Board Level Worksheet'!$C$19,"")</f>
        <v/>
      </c>
      <c r="M13" s="80" t="str">
        <f>IF($C13='4. Board Level Worksheet'!$C$5,'4. Board Level Worksheet'!$C$21,"")</f>
        <v/>
      </c>
      <c r="N13" s="80" t="str">
        <f>IF($C13='4. Board Level Worksheet'!$C$5,'4. Board Level Worksheet'!$C$28,"")</f>
        <v/>
      </c>
      <c r="O13" s="80" t="str">
        <f>IF($C13='4. Board Level Worksheet'!$C$5,'4. Board Level Worksheet'!#REF!,"")</f>
        <v/>
      </c>
      <c r="P13" t="s">
        <v>183</v>
      </c>
      <c r="Q13" s="78">
        <v>0.84640000000000004</v>
      </c>
      <c r="R13" s="78">
        <v>0.84640000000000004</v>
      </c>
      <c r="S13" s="78">
        <v>0.48300799999999999</v>
      </c>
      <c r="T13" s="78">
        <v>7.1999999999999995E-2</v>
      </c>
      <c r="U13" s="79">
        <v>491</v>
      </c>
      <c r="V13" s="79">
        <f t="shared" si="0"/>
        <v>0.49099999999999999</v>
      </c>
    </row>
    <row r="14" spans="1:28">
      <c r="A14">
        <v>12</v>
      </c>
      <c r="B14" s="105">
        <v>10</v>
      </c>
      <c r="C14" t="s">
        <v>184</v>
      </c>
      <c r="D14" s="16"/>
      <c r="E14" s="16"/>
      <c r="F14" s="16"/>
      <c r="G14" s="16"/>
      <c r="H14" s="16"/>
      <c r="I14" s="16"/>
      <c r="J14" s="16"/>
      <c r="K14" s="78" t="str">
        <f>IF($C14='4. Board Level Worksheet'!$C$5,'4. Board Level Worksheet'!$C$18,"")</f>
        <v/>
      </c>
      <c r="L14" s="78" t="str">
        <f>IF($C14='4. Board Level Worksheet'!$C$5,'4. Board Level Worksheet'!$C$19,"")</f>
        <v/>
      </c>
      <c r="M14" s="80" t="str">
        <f>IF($C14='4. Board Level Worksheet'!$C$5,'4. Board Level Worksheet'!$C$21,"")</f>
        <v/>
      </c>
      <c r="N14" s="80" t="str">
        <f>IF($C14='4. Board Level Worksheet'!$C$5,'4. Board Level Worksheet'!$C$28,"")</f>
        <v/>
      </c>
      <c r="O14" s="80" t="str">
        <f>IF($C14='4. Board Level Worksheet'!$C$5,'4. Board Level Worksheet'!#REF!,"")</f>
        <v/>
      </c>
      <c r="P14" t="s">
        <v>184</v>
      </c>
      <c r="Q14" s="78">
        <v>0.6784</v>
      </c>
      <c r="R14" s="78">
        <v>0.6784</v>
      </c>
      <c r="S14" s="78">
        <v>0.32154700000000003</v>
      </c>
      <c r="T14" s="78">
        <v>5.0999999999999997E-2</v>
      </c>
      <c r="U14" s="79">
        <v>320</v>
      </c>
      <c r="V14" s="79">
        <f t="shared" si="0"/>
        <v>0.32</v>
      </c>
    </row>
    <row r="15" spans="1:28">
      <c r="A15">
        <v>13</v>
      </c>
      <c r="B15" s="105">
        <v>11</v>
      </c>
      <c r="C15" t="s">
        <v>185</v>
      </c>
      <c r="D15" s="16"/>
      <c r="E15" s="16"/>
      <c r="F15" s="16"/>
      <c r="G15" s="16"/>
      <c r="H15" s="16"/>
      <c r="I15" s="16"/>
      <c r="J15" s="16"/>
      <c r="K15" s="78" t="str">
        <f>IF($C15='4. Board Level Worksheet'!$C$5,'4. Board Level Worksheet'!$C$18,"")</f>
        <v/>
      </c>
      <c r="L15" s="78" t="str">
        <f>IF($C15='4. Board Level Worksheet'!$C$5,'4. Board Level Worksheet'!$C$19,"")</f>
        <v/>
      </c>
      <c r="M15" s="80" t="str">
        <f>IF($C15='4. Board Level Worksheet'!$C$5,'4. Board Level Worksheet'!$C$21,"")</f>
        <v/>
      </c>
      <c r="N15" s="80" t="str">
        <f>IF($C15='4. Board Level Worksheet'!$C$5,'4. Board Level Worksheet'!$C$28,"")</f>
        <v/>
      </c>
      <c r="O15" s="80" t="str">
        <f>IF($C15='4. Board Level Worksheet'!$C$5,'4. Board Level Worksheet'!#REF!,"")</f>
        <v/>
      </c>
      <c r="P15" t="s">
        <v>185</v>
      </c>
      <c r="Q15" s="78">
        <v>1.8102</v>
      </c>
      <c r="R15" s="78">
        <v>1.8102</v>
      </c>
      <c r="S15" s="78">
        <v>1.146633</v>
      </c>
      <c r="T15" s="78">
        <v>0.20100000000000001</v>
      </c>
      <c r="U15" s="79">
        <v>630</v>
      </c>
      <c r="V15" s="79">
        <f t="shared" si="0"/>
        <v>0.63</v>
      </c>
    </row>
    <row r="16" spans="1:28">
      <c r="A16">
        <v>14</v>
      </c>
      <c r="B16" s="105">
        <v>12</v>
      </c>
      <c r="C16" t="s">
        <v>186</v>
      </c>
      <c r="D16" s="16"/>
      <c r="E16" s="16"/>
      <c r="F16" s="16"/>
      <c r="G16" s="16"/>
      <c r="H16" s="16"/>
      <c r="I16" s="16"/>
      <c r="J16" s="16"/>
      <c r="K16" s="78" t="str">
        <f>IF($C16='4. Board Level Worksheet'!$C$5,'4. Board Level Worksheet'!$C$18,"")</f>
        <v/>
      </c>
      <c r="L16" s="78" t="str">
        <f>IF($C16='4. Board Level Worksheet'!$C$5,'4. Board Level Worksheet'!$C$19,"")</f>
        <v/>
      </c>
      <c r="M16" s="80" t="str">
        <f>IF($C16='4. Board Level Worksheet'!$C$5,'4. Board Level Worksheet'!$C$21,"")</f>
        <v/>
      </c>
      <c r="N16" s="80" t="str">
        <f>IF($C16='4. Board Level Worksheet'!$C$5,'4. Board Level Worksheet'!$C$28,"")</f>
        <v/>
      </c>
      <c r="O16" s="80" t="str">
        <f>IF($C16='4. Board Level Worksheet'!$C$5,'4. Board Level Worksheet'!#REF!,"")</f>
        <v/>
      </c>
      <c r="P16" t="s">
        <v>186</v>
      </c>
      <c r="Q16" s="78">
        <v>6.9185999999999996</v>
      </c>
      <c r="R16" s="78">
        <v>6.9185999999999996</v>
      </c>
      <c r="S16" s="78">
        <v>3.721149</v>
      </c>
      <c r="T16" s="78">
        <v>0.52700000000000002</v>
      </c>
      <c r="U16" s="79">
        <v>648</v>
      </c>
      <c r="V16" s="79">
        <f t="shared" si="0"/>
        <v>0.64800000000000002</v>
      </c>
    </row>
    <row r="17" spans="1:22">
      <c r="A17">
        <v>15</v>
      </c>
      <c r="B17" s="105">
        <v>13</v>
      </c>
      <c r="C17" t="s">
        <v>187</v>
      </c>
      <c r="D17" s="16"/>
      <c r="E17" s="16"/>
      <c r="F17" s="16"/>
      <c r="G17" s="16"/>
      <c r="H17" s="16"/>
      <c r="I17" s="16"/>
      <c r="J17" s="16"/>
      <c r="K17" s="78" t="str">
        <f>IF($C17='4. Board Level Worksheet'!$C$5,'4. Board Level Worksheet'!$C$18,"")</f>
        <v/>
      </c>
      <c r="L17" s="78" t="str">
        <f>IF($C17='4. Board Level Worksheet'!$C$5,'4. Board Level Worksheet'!$C$19,"")</f>
        <v/>
      </c>
      <c r="M17" s="80" t="str">
        <f>IF($C17='4. Board Level Worksheet'!$C$5,'4. Board Level Worksheet'!$C$21,"")</f>
        <v/>
      </c>
      <c r="N17" s="80" t="str">
        <f>IF($C17='4. Board Level Worksheet'!$C$5,'4. Board Level Worksheet'!$C$28,"")</f>
        <v/>
      </c>
      <c r="O17" s="80" t="str">
        <f>IF($C17='4. Board Level Worksheet'!$C$5,'4. Board Level Worksheet'!#REF!,"")</f>
        <v/>
      </c>
      <c r="P17" t="s">
        <v>187</v>
      </c>
      <c r="Q17" s="78">
        <v>1.4395</v>
      </c>
      <c r="R17" s="78">
        <v>1.4395</v>
      </c>
      <c r="S17" s="78">
        <v>0.99995500000000004</v>
      </c>
      <c r="T17" s="78">
        <v>0.17100000000000001</v>
      </c>
      <c r="U17" s="79">
        <v>311</v>
      </c>
      <c r="V17" s="79">
        <f t="shared" si="0"/>
        <v>0.311</v>
      </c>
    </row>
    <row r="18" spans="1:22">
      <c r="A18">
        <v>16</v>
      </c>
      <c r="B18" s="105">
        <v>14</v>
      </c>
      <c r="C18" t="s">
        <v>188</v>
      </c>
      <c r="D18" s="16"/>
      <c r="E18" s="16"/>
      <c r="F18" s="16"/>
      <c r="G18" s="16"/>
      <c r="H18" s="16"/>
      <c r="I18" s="16"/>
      <c r="J18" s="16"/>
      <c r="K18" s="78" t="str">
        <f>IF($C18='4. Board Level Worksheet'!$C$5,'4. Board Level Worksheet'!$C$18,"")</f>
        <v/>
      </c>
      <c r="L18" s="78" t="str">
        <f>IF($C18='4. Board Level Worksheet'!$C$5,'4. Board Level Worksheet'!$C$19,"")</f>
        <v/>
      </c>
      <c r="M18" s="80" t="str">
        <f>IF($C18='4. Board Level Worksheet'!$C$5,'4. Board Level Worksheet'!$C$21,"")</f>
        <v/>
      </c>
      <c r="N18" s="80" t="str">
        <f>IF($C18='4. Board Level Worksheet'!$C$5,'4. Board Level Worksheet'!$C$28,"")</f>
        <v/>
      </c>
      <c r="O18" s="80" t="str">
        <f>IF($C18='4. Board Level Worksheet'!$C$5,'4. Board Level Worksheet'!#REF!,"")</f>
        <v/>
      </c>
      <c r="P18" t="s">
        <v>188</v>
      </c>
      <c r="Q18" s="78">
        <v>0.88219999999999998</v>
      </c>
      <c r="R18" s="78">
        <v>0.88219999999999998</v>
      </c>
      <c r="S18" s="78">
        <v>0.47901700000000003</v>
      </c>
      <c r="T18" s="78">
        <v>7.8E-2</v>
      </c>
      <c r="U18" s="79">
        <v>933</v>
      </c>
      <c r="V18" s="79">
        <f t="shared" si="0"/>
        <v>0.93300000000000005</v>
      </c>
    </row>
    <row r="19" spans="1:22">
      <c r="A19">
        <v>17</v>
      </c>
      <c r="B19" s="105">
        <v>15</v>
      </c>
      <c r="C19" t="s">
        <v>189</v>
      </c>
      <c r="D19" s="16"/>
      <c r="E19" s="16"/>
      <c r="F19" s="16"/>
      <c r="G19" s="16"/>
      <c r="H19" s="16"/>
      <c r="I19" s="16"/>
      <c r="J19" s="16"/>
      <c r="K19" s="78" t="str">
        <f>IF($C19='4. Board Level Worksheet'!$C$5,'4. Board Level Worksheet'!$C$18,"")</f>
        <v/>
      </c>
      <c r="L19" s="78" t="str">
        <f>IF($C19='4. Board Level Worksheet'!$C$5,'4. Board Level Worksheet'!$C$19,"")</f>
        <v/>
      </c>
      <c r="M19" s="80" t="str">
        <f>IF($C19='4. Board Level Worksheet'!$C$5,'4. Board Level Worksheet'!$C$21,"")</f>
        <v/>
      </c>
      <c r="N19" s="80" t="str">
        <f>IF($C19='4. Board Level Worksheet'!$C$5,'4. Board Level Worksheet'!$C$28,"")</f>
        <v/>
      </c>
      <c r="O19" s="80" t="str">
        <f>IF($C19='4. Board Level Worksheet'!$C$5,'4. Board Level Worksheet'!#REF!,"")</f>
        <v/>
      </c>
      <c r="P19" t="s">
        <v>189</v>
      </c>
      <c r="Q19" s="78">
        <v>0.53200000000000003</v>
      </c>
      <c r="R19" s="78">
        <v>0.53200000000000003</v>
      </c>
      <c r="S19" s="78">
        <v>0.26747199999999999</v>
      </c>
      <c r="T19" s="78">
        <v>3.5000000000000003E-2</v>
      </c>
      <c r="U19" s="79">
        <v>768</v>
      </c>
      <c r="V19" s="79">
        <f t="shared" si="0"/>
        <v>0.76800000000000002</v>
      </c>
    </row>
    <row r="20" spans="1:22">
      <c r="A20">
        <v>18</v>
      </c>
      <c r="B20" s="105">
        <v>16</v>
      </c>
      <c r="C20" t="s">
        <v>190</v>
      </c>
      <c r="D20" s="16"/>
      <c r="E20" s="16"/>
      <c r="F20" s="16"/>
      <c r="G20" s="16"/>
      <c r="H20" s="16"/>
      <c r="I20" s="16"/>
      <c r="J20" s="16"/>
      <c r="K20" s="78" t="str">
        <f>IF($C20='4. Board Level Worksheet'!$C$5,'4. Board Level Worksheet'!$C$18,"")</f>
        <v/>
      </c>
      <c r="L20" s="78" t="str">
        <f>IF($C20='4. Board Level Worksheet'!$C$5,'4. Board Level Worksheet'!$C$19,"")</f>
        <v/>
      </c>
      <c r="M20" s="80" t="str">
        <f>IF($C20='4. Board Level Worksheet'!$C$5,'4. Board Level Worksheet'!$C$21,"")</f>
        <v/>
      </c>
      <c r="N20" s="80" t="str">
        <f>IF($C20='4. Board Level Worksheet'!$C$5,'4. Board Level Worksheet'!$C$28,"")</f>
        <v/>
      </c>
      <c r="O20" s="80" t="str">
        <f>IF($C20='4. Board Level Worksheet'!$C$5,'4. Board Level Worksheet'!#REF!,"")</f>
        <v/>
      </c>
      <c r="P20" t="s">
        <v>190</v>
      </c>
      <c r="Q20" s="78">
        <v>2.5880000000000001</v>
      </c>
      <c r="R20" s="78">
        <v>2.5880000000000001</v>
      </c>
      <c r="S20" s="78">
        <v>1.6960470000000001</v>
      </c>
      <c r="T20" s="78">
        <v>0.28199999999999997</v>
      </c>
      <c r="U20" s="79">
        <v>497</v>
      </c>
      <c r="V20" s="79">
        <f t="shared" si="0"/>
        <v>0.497</v>
      </c>
    </row>
    <row r="21" spans="1:22">
      <c r="A21">
        <v>19</v>
      </c>
      <c r="B21" s="105">
        <v>17</v>
      </c>
      <c r="C21" t="s">
        <v>191</v>
      </c>
      <c r="D21" s="16"/>
      <c r="E21" s="16"/>
      <c r="F21" s="16"/>
      <c r="G21" s="16"/>
      <c r="H21" s="16"/>
      <c r="I21" s="16"/>
      <c r="J21" s="16"/>
      <c r="K21" s="78" t="str">
        <f>IF($C21='4. Board Level Worksheet'!$C$5,'4. Board Level Worksheet'!$C$18,"")</f>
        <v/>
      </c>
      <c r="L21" s="78" t="str">
        <f>IF($C21='4. Board Level Worksheet'!$C$5,'4. Board Level Worksheet'!$C$19,"")</f>
        <v/>
      </c>
      <c r="M21" s="80" t="str">
        <f>IF($C21='4. Board Level Worksheet'!$C$5,'4. Board Level Worksheet'!$C$21,"")</f>
        <v/>
      </c>
      <c r="N21" s="80" t="str">
        <f>IF($C21='4. Board Level Worksheet'!$C$5,'4. Board Level Worksheet'!$C$28,"")</f>
        <v/>
      </c>
      <c r="O21" s="80" t="str">
        <f>IF($C21='4. Board Level Worksheet'!$C$5,'4. Board Level Worksheet'!#REF!,"")</f>
        <v/>
      </c>
      <c r="P21" t="s">
        <v>191</v>
      </c>
      <c r="Q21" s="78">
        <v>1.0784</v>
      </c>
      <c r="R21" s="78">
        <v>1.0784</v>
      </c>
      <c r="S21" s="78">
        <v>0.71854300000000004</v>
      </c>
      <c r="T21" s="78">
        <v>0.123</v>
      </c>
      <c r="U21" s="79">
        <v>149</v>
      </c>
      <c r="V21" s="79">
        <f t="shared" si="0"/>
        <v>0.14899999999999999</v>
      </c>
    </row>
    <row r="22" spans="1:22">
      <c r="A22">
        <v>20</v>
      </c>
      <c r="B22" s="105">
        <v>18</v>
      </c>
      <c r="C22" t="s">
        <v>192</v>
      </c>
      <c r="D22" s="16"/>
      <c r="E22" s="16"/>
      <c r="F22" s="16"/>
      <c r="G22" s="16"/>
      <c r="H22" s="16"/>
      <c r="I22" s="16"/>
      <c r="J22" s="16"/>
      <c r="K22" s="78" t="str">
        <f>IF($C22='4. Board Level Worksheet'!$C$5,'4. Board Level Worksheet'!$C$18,"")</f>
        <v/>
      </c>
      <c r="L22" s="78" t="str">
        <f>IF($C22='4. Board Level Worksheet'!$C$5,'4. Board Level Worksheet'!$C$19,"")</f>
        <v/>
      </c>
      <c r="M22" s="80" t="str">
        <f>IF($C22='4. Board Level Worksheet'!$C$5,'4. Board Level Worksheet'!$C$21,"")</f>
        <v/>
      </c>
      <c r="N22" s="80" t="str">
        <f>IF($C22='4. Board Level Worksheet'!$C$5,'4. Board Level Worksheet'!$C$28,"")</f>
        <v/>
      </c>
      <c r="O22" s="80" t="str">
        <f>IF($C22='4. Board Level Worksheet'!$C$5,'4. Board Level Worksheet'!#REF!,"")</f>
        <v/>
      </c>
      <c r="P22" t="s">
        <v>192</v>
      </c>
      <c r="Q22" s="78">
        <v>0.84499999999999997</v>
      </c>
      <c r="R22" s="78">
        <v>0.84499999999999997</v>
      </c>
      <c r="S22" s="78">
        <v>0.48560799999999998</v>
      </c>
      <c r="T22" s="78">
        <v>9.0999999999999998E-2</v>
      </c>
      <c r="U22" s="79">
        <v>262</v>
      </c>
      <c r="V22" s="79">
        <f t="shared" si="0"/>
        <v>0.26200000000000001</v>
      </c>
    </row>
    <row r="23" spans="1:22">
      <c r="A23">
        <v>21</v>
      </c>
      <c r="B23" s="105">
        <v>19</v>
      </c>
      <c r="C23" t="s">
        <v>193</v>
      </c>
      <c r="D23" s="16"/>
      <c r="E23" s="16"/>
      <c r="F23" s="16"/>
      <c r="G23" s="16"/>
      <c r="H23" s="16"/>
      <c r="I23" s="16"/>
      <c r="J23" s="16"/>
      <c r="K23" s="78" t="str">
        <f>IF($C23='4. Board Level Worksheet'!$C$5,'4. Board Level Worksheet'!$C$18,"")</f>
        <v/>
      </c>
      <c r="L23" s="78" t="str">
        <f>IF($C23='4. Board Level Worksheet'!$C$5,'4. Board Level Worksheet'!$C$19,"")</f>
        <v/>
      </c>
      <c r="M23" s="80" t="str">
        <f>IF($C23='4. Board Level Worksheet'!$C$5,'4. Board Level Worksheet'!$C$21,"")</f>
        <v/>
      </c>
      <c r="N23" s="80" t="str">
        <f>IF($C23='4. Board Level Worksheet'!$C$5,'4. Board Level Worksheet'!$C$28,"")</f>
        <v/>
      </c>
      <c r="O23" s="80" t="str">
        <f>IF($C23='4. Board Level Worksheet'!$C$5,'4. Board Level Worksheet'!#REF!,"")</f>
        <v/>
      </c>
      <c r="P23" t="s">
        <v>193</v>
      </c>
      <c r="Q23" s="78">
        <v>2.9912999999999998</v>
      </c>
      <c r="R23" s="78">
        <v>2.9912999999999998</v>
      </c>
      <c r="S23" s="78">
        <v>2.0338720000000001</v>
      </c>
      <c r="T23" s="78">
        <v>0.41699999999999998</v>
      </c>
      <c r="U23" s="79">
        <v>1462</v>
      </c>
      <c r="V23" s="79">
        <f t="shared" si="0"/>
        <v>1.462</v>
      </c>
    </row>
    <row r="24" spans="1:22">
      <c r="A24">
        <v>22</v>
      </c>
      <c r="B24" s="105">
        <v>20</v>
      </c>
      <c r="C24" t="s">
        <v>194</v>
      </c>
      <c r="D24" s="16"/>
      <c r="E24" s="16"/>
      <c r="F24" s="16"/>
      <c r="G24" s="16"/>
      <c r="H24" s="16"/>
      <c r="I24" s="16"/>
      <c r="J24" s="16"/>
      <c r="K24" s="78" t="str">
        <f>IF($C24='4. Board Level Worksheet'!$C$5,'4. Board Level Worksheet'!$C$18,"")</f>
        <v/>
      </c>
      <c r="L24" s="78" t="str">
        <f>IF($C24='4. Board Level Worksheet'!$C$5,'4. Board Level Worksheet'!$C$19,"")</f>
        <v/>
      </c>
      <c r="M24" s="80" t="str">
        <f>IF($C24='4. Board Level Worksheet'!$C$5,'4. Board Level Worksheet'!$C$21,"")</f>
        <v/>
      </c>
      <c r="N24" s="80" t="str">
        <f>IF($C24='4. Board Level Worksheet'!$C$5,'4. Board Level Worksheet'!$C$28,"")</f>
        <v/>
      </c>
      <c r="O24" s="80" t="str">
        <f>IF($C24='4. Board Level Worksheet'!$C$5,'4. Board Level Worksheet'!#REF!,"")</f>
        <v/>
      </c>
      <c r="P24" t="s">
        <v>194</v>
      </c>
      <c r="Q24" s="78">
        <v>1.2395</v>
      </c>
      <c r="R24" s="78">
        <v>1.2395</v>
      </c>
      <c r="S24" s="78">
        <v>0.88417500000000004</v>
      </c>
      <c r="T24" s="78">
        <v>0.155</v>
      </c>
      <c r="U24" s="79">
        <v>1045</v>
      </c>
      <c r="V24" s="79">
        <f t="shared" si="0"/>
        <v>1.0449999999999999</v>
      </c>
    </row>
    <row r="25" spans="1:22">
      <c r="A25">
        <v>23</v>
      </c>
      <c r="B25" s="105">
        <v>21</v>
      </c>
      <c r="C25" t="s">
        <v>195</v>
      </c>
      <c r="D25" s="16"/>
      <c r="E25" s="16"/>
      <c r="F25" s="16"/>
      <c r="G25" s="16"/>
      <c r="H25" s="16"/>
      <c r="I25" s="16"/>
      <c r="J25" s="16"/>
      <c r="K25" s="78" t="str">
        <f>IF($C25='4. Board Level Worksheet'!$C$5,'4. Board Level Worksheet'!$C$18,"")</f>
        <v/>
      </c>
      <c r="L25" s="78" t="str">
        <f>IF($C25='4. Board Level Worksheet'!$C$5,'4. Board Level Worksheet'!$C$19,"")</f>
        <v/>
      </c>
      <c r="M25" s="80" t="str">
        <f>IF($C25='4. Board Level Worksheet'!$C$5,'4. Board Level Worksheet'!$C$21,"")</f>
        <v/>
      </c>
      <c r="N25" s="80" t="str">
        <f>IF($C25='4. Board Level Worksheet'!$C$5,'4. Board Level Worksheet'!$C$28,"")</f>
        <v/>
      </c>
      <c r="O25" s="80" t="str">
        <f>IF($C25='4. Board Level Worksheet'!$C$5,'4. Board Level Worksheet'!#REF!,"")</f>
        <v/>
      </c>
      <c r="P25" t="s">
        <v>195</v>
      </c>
      <c r="Q25" s="78">
        <v>1.1619999999999999</v>
      </c>
      <c r="R25" s="78">
        <v>1.1619999999999999</v>
      </c>
      <c r="S25" s="78">
        <v>0.67302499999999998</v>
      </c>
      <c r="T25" s="78">
        <v>0.12</v>
      </c>
      <c r="U25" s="79">
        <v>794</v>
      </c>
      <c r="V25" s="79">
        <f t="shared" si="0"/>
        <v>0.79400000000000004</v>
      </c>
    </row>
    <row r="26" spans="1:22">
      <c r="A26">
        <v>24</v>
      </c>
      <c r="B26" s="105">
        <v>22</v>
      </c>
      <c r="C26" t="s">
        <v>196</v>
      </c>
      <c r="D26" s="16"/>
      <c r="E26" s="16"/>
      <c r="F26" s="16"/>
      <c r="G26" s="16"/>
      <c r="H26" s="16"/>
      <c r="I26" s="16"/>
      <c r="J26" s="16"/>
      <c r="K26" s="78" t="str">
        <f>IF($C26='4. Board Level Worksheet'!$C$5,'4. Board Level Worksheet'!$C$18,"")</f>
        <v/>
      </c>
      <c r="L26" s="78" t="str">
        <f>IF($C26='4. Board Level Worksheet'!$C$5,'4. Board Level Worksheet'!$C$19,"")</f>
        <v/>
      </c>
      <c r="M26" s="80" t="str">
        <f>IF($C26='4. Board Level Worksheet'!$C$5,'4. Board Level Worksheet'!$C$21,"")</f>
        <v/>
      </c>
      <c r="N26" s="80" t="str">
        <f>IF($C26='4. Board Level Worksheet'!$C$5,'4. Board Level Worksheet'!$C$28,"")</f>
        <v/>
      </c>
      <c r="O26" s="80" t="str">
        <f>IF($C26='4. Board Level Worksheet'!$C$5,'4. Board Level Worksheet'!#REF!,"")</f>
        <v/>
      </c>
      <c r="P26" t="s">
        <v>196</v>
      </c>
      <c r="Q26" s="78">
        <v>1.0193000000000001</v>
      </c>
      <c r="R26" s="78">
        <v>1.0193000000000001</v>
      </c>
      <c r="S26" s="78">
        <v>0.53801399999999999</v>
      </c>
      <c r="T26" s="78">
        <v>6.9000000000000006E-2</v>
      </c>
      <c r="U26" s="79">
        <v>428</v>
      </c>
      <c r="V26" s="79">
        <f t="shared" si="0"/>
        <v>0.42799999999999999</v>
      </c>
    </row>
    <row r="27" spans="1:22">
      <c r="A27">
        <v>25</v>
      </c>
      <c r="B27" s="105">
        <v>23</v>
      </c>
      <c r="C27" t="s">
        <v>197</v>
      </c>
      <c r="D27" s="16"/>
      <c r="E27" s="16"/>
      <c r="F27" s="16"/>
      <c r="G27" s="16"/>
      <c r="H27" s="16"/>
      <c r="I27" s="16"/>
      <c r="J27" s="16"/>
      <c r="K27" s="78" t="str">
        <f>IF($C27='4. Board Level Worksheet'!$C$5,'4. Board Level Worksheet'!$C$18,"")</f>
        <v/>
      </c>
      <c r="L27" s="78" t="str">
        <f>IF($C27='4. Board Level Worksheet'!$C$5,'4. Board Level Worksheet'!$C$19,"")</f>
        <v/>
      </c>
      <c r="M27" s="80" t="str">
        <f>IF($C27='4. Board Level Worksheet'!$C$5,'4. Board Level Worksheet'!$C$21,"")</f>
        <v/>
      </c>
      <c r="N27" s="80" t="str">
        <f>IF($C27='4. Board Level Worksheet'!$C$5,'4. Board Level Worksheet'!$C$28,"")</f>
        <v/>
      </c>
      <c r="O27" s="80" t="str">
        <f>IF($C27='4. Board Level Worksheet'!$C$5,'4. Board Level Worksheet'!#REF!,"")</f>
        <v/>
      </c>
      <c r="P27" t="s">
        <v>197</v>
      </c>
      <c r="Q27" s="78">
        <v>0.7641</v>
      </c>
      <c r="R27" s="78">
        <v>0.7641</v>
      </c>
      <c r="S27" s="78">
        <v>0.36727500000000002</v>
      </c>
      <c r="T27" s="78">
        <v>6.7000000000000004E-2</v>
      </c>
      <c r="U27" s="79">
        <v>765</v>
      </c>
      <c r="V27" s="79">
        <f t="shared" si="0"/>
        <v>0.76500000000000001</v>
      </c>
    </row>
    <row r="28" spans="1:22">
      <c r="A28">
        <v>26</v>
      </c>
      <c r="B28" s="105">
        <v>24</v>
      </c>
      <c r="C28" t="s">
        <v>198</v>
      </c>
      <c r="D28" s="16"/>
      <c r="E28" s="16"/>
      <c r="F28" s="16"/>
      <c r="G28" s="16"/>
      <c r="H28" s="16"/>
      <c r="I28" s="16"/>
      <c r="J28" s="16"/>
      <c r="K28" s="78" t="str">
        <f>IF($C28='4. Board Level Worksheet'!$C$5,'4. Board Level Worksheet'!$C$18,"")</f>
        <v/>
      </c>
      <c r="L28" s="78" t="str">
        <f>IF($C28='4. Board Level Worksheet'!$C$5,'4. Board Level Worksheet'!$C$19,"")</f>
        <v/>
      </c>
      <c r="M28" s="80" t="str">
        <f>IF($C28='4. Board Level Worksheet'!$C$5,'4. Board Level Worksheet'!$C$21,"")</f>
        <v/>
      </c>
      <c r="N28" s="80" t="str">
        <f>IF($C28='4. Board Level Worksheet'!$C$5,'4. Board Level Worksheet'!$C$28,"")</f>
        <v/>
      </c>
      <c r="O28" s="80" t="str">
        <f>IF($C28='4. Board Level Worksheet'!$C$5,'4. Board Level Worksheet'!#REF!,"")</f>
        <v/>
      </c>
      <c r="P28" t="s">
        <v>198</v>
      </c>
      <c r="Q28" s="78">
        <v>1.4674</v>
      </c>
      <c r="R28" s="78">
        <v>1.4674</v>
      </c>
      <c r="S28" s="78">
        <v>0.863236</v>
      </c>
      <c r="T28" s="78">
        <v>0.156</v>
      </c>
      <c r="U28" s="79">
        <v>331</v>
      </c>
      <c r="V28" s="79">
        <f t="shared" si="0"/>
        <v>0.33100000000000002</v>
      </c>
    </row>
    <row r="29" spans="1:22">
      <c r="A29">
        <v>27</v>
      </c>
      <c r="B29" s="105">
        <v>25</v>
      </c>
      <c r="C29" t="s">
        <v>199</v>
      </c>
      <c r="D29" s="16"/>
      <c r="E29" s="16"/>
      <c r="F29" s="16"/>
      <c r="G29" s="16"/>
      <c r="H29" s="16"/>
      <c r="I29" s="16"/>
      <c r="J29" s="16"/>
      <c r="K29" s="78" t="str">
        <f>IF($C29='4. Board Level Worksheet'!$C$5,'4. Board Level Worksheet'!$C$18,"")</f>
        <v/>
      </c>
      <c r="L29" s="78" t="str">
        <f>IF($C29='4. Board Level Worksheet'!$C$5,'4. Board Level Worksheet'!$C$19,"")</f>
        <v/>
      </c>
      <c r="M29" s="80" t="str">
        <f>IF($C29='4. Board Level Worksheet'!$C$5,'4. Board Level Worksheet'!$C$21,"")</f>
        <v/>
      </c>
      <c r="N29" s="80" t="str">
        <f>IF($C29='4. Board Level Worksheet'!$C$5,'4. Board Level Worksheet'!$C$28,"")</f>
        <v/>
      </c>
      <c r="O29" s="80" t="str">
        <f>IF($C29='4. Board Level Worksheet'!$C$5,'4. Board Level Worksheet'!#REF!,"")</f>
        <v/>
      </c>
      <c r="P29" t="s">
        <v>199</v>
      </c>
      <c r="Q29" s="78">
        <v>1.6815</v>
      </c>
      <c r="R29" s="78">
        <v>1.6815</v>
      </c>
      <c r="S29" s="78">
        <v>1.073366</v>
      </c>
      <c r="T29" s="78">
        <v>0.161</v>
      </c>
      <c r="U29" s="79">
        <v>780</v>
      </c>
      <c r="V29" s="79">
        <f t="shared" si="0"/>
        <v>0.78</v>
      </c>
    </row>
    <row r="30" spans="1:22">
      <c r="A30">
        <v>28</v>
      </c>
      <c r="B30" s="105">
        <v>26</v>
      </c>
      <c r="C30" t="s">
        <v>200</v>
      </c>
      <c r="D30" s="16"/>
      <c r="E30" s="16"/>
      <c r="F30" s="16"/>
      <c r="G30" s="16"/>
      <c r="H30" s="16"/>
      <c r="I30" s="16"/>
      <c r="J30" s="16"/>
      <c r="K30" s="78" t="str">
        <f>IF($C30='4. Board Level Worksheet'!$C$5,'4. Board Level Worksheet'!$C$18,"")</f>
        <v/>
      </c>
      <c r="L30" s="78" t="str">
        <f>IF($C30='4. Board Level Worksheet'!$C$5,'4. Board Level Worksheet'!$C$19,"")</f>
        <v/>
      </c>
      <c r="M30" s="80" t="str">
        <f>IF($C30='4. Board Level Worksheet'!$C$5,'4. Board Level Worksheet'!$C$21,"")</f>
        <v/>
      </c>
      <c r="N30" s="80" t="str">
        <f>IF($C30='4. Board Level Worksheet'!$C$5,'4. Board Level Worksheet'!$C$28,"")</f>
        <v/>
      </c>
      <c r="O30" s="80" t="str">
        <f>IF($C30='4. Board Level Worksheet'!$C$5,'4. Board Level Worksheet'!#REF!,"")</f>
        <v/>
      </c>
      <c r="P30" t="s">
        <v>200</v>
      </c>
      <c r="Q30" s="78">
        <v>0.86070000000000002</v>
      </c>
      <c r="R30" s="78">
        <v>0.86070000000000002</v>
      </c>
      <c r="S30" s="78">
        <v>0.43895899999999999</v>
      </c>
      <c r="T30" s="78">
        <v>5.8000000000000003E-2</v>
      </c>
      <c r="U30" s="79">
        <v>147</v>
      </c>
      <c r="V30" s="79">
        <f t="shared" si="0"/>
        <v>0.14699999999999999</v>
      </c>
    </row>
    <row r="31" spans="1:22">
      <c r="A31">
        <v>29</v>
      </c>
      <c r="B31" s="105">
        <v>27</v>
      </c>
      <c r="C31" t="s">
        <v>201</v>
      </c>
      <c r="D31" s="16"/>
      <c r="E31" s="16"/>
      <c r="F31" s="16"/>
      <c r="G31" s="16"/>
      <c r="H31" s="16"/>
      <c r="I31" s="16"/>
      <c r="J31" s="16"/>
      <c r="K31" s="78" t="str">
        <f>IF($C31='4. Board Level Worksheet'!$C$5,'4. Board Level Worksheet'!$C$18,"")</f>
        <v/>
      </c>
      <c r="L31" s="78" t="str">
        <f>IF($C31='4. Board Level Worksheet'!$C$5,'4. Board Level Worksheet'!$C$19,"")</f>
        <v/>
      </c>
      <c r="M31" s="80" t="str">
        <f>IF($C31='4. Board Level Worksheet'!$C$5,'4. Board Level Worksheet'!$C$21,"")</f>
        <v/>
      </c>
      <c r="N31" s="80" t="str">
        <f>IF($C31='4. Board Level Worksheet'!$C$5,'4. Board Level Worksheet'!$C$28,"")</f>
        <v/>
      </c>
      <c r="O31" s="80" t="str">
        <f>IF($C31='4. Board Level Worksheet'!$C$5,'4. Board Level Worksheet'!#REF!,"")</f>
        <v/>
      </c>
      <c r="P31" t="s">
        <v>201</v>
      </c>
      <c r="Q31" s="78">
        <v>0.56810000000000005</v>
      </c>
      <c r="R31" s="78">
        <v>0.56810000000000005</v>
      </c>
      <c r="S31" s="78">
        <v>0.31396499999999999</v>
      </c>
      <c r="T31" s="78">
        <v>4.9000000000000002E-2</v>
      </c>
      <c r="U31" s="79">
        <v>820</v>
      </c>
      <c r="V31" s="79">
        <f t="shared" si="0"/>
        <v>0.82</v>
      </c>
    </row>
    <row r="32" spans="1:22">
      <c r="A32">
        <v>30</v>
      </c>
      <c r="B32" s="105">
        <v>28</v>
      </c>
      <c r="C32" t="s">
        <v>202</v>
      </c>
      <c r="D32" s="16"/>
      <c r="E32" s="16"/>
      <c r="F32" s="16"/>
      <c r="G32" s="16"/>
      <c r="H32" s="16"/>
      <c r="I32" s="16"/>
      <c r="J32" s="16"/>
      <c r="K32" s="78" t="str">
        <f>IF($C32='4. Board Level Worksheet'!$C$5,'4. Board Level Worksheet'!$C$18,"")</f>
        <v/>
      </c>
      <c r="L32" s="78" t="str">
        <f>IF($C32='4. Board Level Worksheet'!$C$5,'4. Board Level Worksheet'!$C$19,"")</f>
        <v/>
      </c>
      <c r="M32" s="80" t="str">
        <f>IF($C32='4. Board Level Worksheet'!$C$5,'4. Board Level Worksheet'!$C$21,"")</f>
        <v/>
      </c>
      <c r="N32" s="80" t="str">
        <f>IF($C32='4. Board Level Worksheet'!$C$5,'4. Board Level Worksheet'!$C$28,"")</f>
        <v/>
      </c>
      <c r="O32" s="80" t="str">
        <f>IF($C32='4. Board Level Worksheet'!$C$5,'4. Board Level Worksheet'!#REF!,"")</f>
        <v/>
      </c>
      <c r="P32" t="s">
        <v>202</v>
      </c>
      <c r="Q32" s="78">
        <v>0.28489999999999999</v>
      </c>
      <c r="R32" s="78">
        <v>0.28489999999999999</v>
      </c>
      <c r="S32" s="78">
        <v>0.17255899999999999</v>
      </c>
      <c r="T32" s="78">
        <v>2.1000000000000001E-2</v>
      </c>
      <c r="U32" s="79">
        <v>63</v>
      </c>
      <c r="V32" s="79">
        <f t="shared" si="0"/>
        <v>6.3E-2</v>
      </c>
    </row>
    <row r="33" spans="1:22">
      <c r="A33">
        <v>31</v>
      </c>
      <c r="B33" s="105">
        <v>29</v>
      </c>
      <c r="C33" t="s">
        <v>203</v>
      </c>
      <c r="D33" s="16"/>
      <c r="E33" s="16"/>
      <c r="F33" s="16"/>
      <c r="G33" s="16"/>
      <c r="H33" s="16"/>
      <c r="I33" s="16"/>
      <c r="J33" s="16"/>
      <c r="K33" s="78" t="str">
        <f>IF($C33='4. Board Level Worksheet'!$C$5,'4. Board Level Worksheet'!$C$18,"")</f>
        <v/>
      </c>
      <c r="L33" s="78" t="str">
        <f>IF($C33='4. Board Level Worksheet'!$C$5,'4. Board Level Worksheet'!$C$19,"")</f>
        <v/>
      </c>
      <c r="M33" s="80" t="str">
        <f>IF($C33='4. Board Level Worksheet'!$C$5,'4. Board Level Worksheet'!$C$21,"")</f>
        <v/>
      </c>
      <c r="N33" s="80" t="str">
        <f>IF($C33='4. Board Level Worksheet'!$C$5,'4. Board Level Worksheet'!$C$28,"")</f>
        <v/>
      </c>
      <c r="O33" s="80" t="str">
        <f>IF($C33='4. Board Level Worksheet'!$C$5,'4. Board Level Worksheet'!#REF!,"")</f>
        <v/>
      </c>
      <c r="P33" t="s">
        <v>203</v>
      </c>
      <c r="Q33" s="78">
        <v>0.4471</v>
      </c>
      <c r="R33" s="78">
        <v>0.4471</v>
      </c>
      <c r="S33" s="78">
        <v>0.25007699999999999</v>
      </c>
      <c r="T33" s="78">
        <v>3.7999999999999999E-2</v>
      </c>
      <c r="U33" s="79">
        <v>199</v>
      </c>
      <c r="V33" s="79">
        <f t="shared" si="0"/>
        <v>0.19900000000000001</v>
      </c>
    </row>
    <row r="34" spans="1:22">
      <c r="A34">
        <v>32</v>
      </c>
      <c r="B34" s="105" t="s">
        <v>204</v>
      </c>
      <c r="C34" t="s">
        <v>205</v>
      </c>
      <c r="D34" s="16"/>
      <c r="E34" s="16"/>
      <c r="F34" s="16"/>
      <c r="G34" s="16"/>
      <c r="H34" s="16"/>
      <c r="I34" s="16"/>
      <c r="J34" s="16"/>
      <c r="K34" s="78" t="str">
        <f>IF($C34='4. Board Level Worksheet'!$C$5,'4. Board Level Worksheet'!$C$18,"")</f>
        <v/>
      </c>
      <c r="L34" s="78" t="str">
        <f>IF($C34='4. Board Level Worksheet'!$C$5,'4. Board Level Worksheet'!$C$19,"")</f>
        <v/>
      </c>
      <c r="M34" s="80" t="str">
        <f>IF($C34='4. Board Level Worksheet'!$C$5,'4. Board Level Worksheet'!$C$21,"")</f>
        <v/>
      </c>
      <c r="N34" s="80" t="str">
        <f>IF($C34='4. Board Level Worksheet'!$C$5,'4. Board Level Worksheet'!$C$28,"")</f>
        <v/>
      </c>
      <c r="O34" s="80" t="str">
        <f>IF($C34='4. Board Level Worksheet'!$C$5,'4. Board Level Worksheet'!#REF!,"")</f>
        <v/>
      </c>
      <c r="P34" t="s">
        <v>205</v>
      </c>
      <c r="Q34" s="78">
        <v>0.10199999999999999</v>
      </c>
      <c r="R34" s="78">
        <v>0.10199999999999999</v>
      </c>
      <c r="S34" s="78">
        <v>4.2092999999999998E-2</v>
      </c>
      <c r="T34" s="78">
        <v>7.0000000000000001E-3</v>
      </c>
      <c r="U34" s="79">
        <v>58</v>
      </c>
      <c r="V34" s="79">
        <f t="shared" si="0"/>
        <v>5.8000000000000003E-2</v>
      </c>
    </row>
    <row r="35" spans="1:22">
      <c r="A35">
        <v>33</v>
      </c>
      <c r="B35" s="105" t="s">
        <v>206</v>
      </c>
      <c r="C35" t="s">
        <v>207</v>
      </c>
      <c r="D35" s="16"/>
      <c r="E35" s="16"/>
      <c r="F35" s="16"/>
      <c r="G35" s="16"/>
      <c r="H35" s="16"/>
      <c r="I35" s="16"/>
      <c r="J35" s="16"/>
      <c r="K35" s="78" t="str">
        <f>IF($C35='4. Board Level Worksheet'!$C$5,'4. Board Level Worksheet'!$C$18,"")</f>
        <v/>
      </c>
      <c r="L35" s="78" t="str">
        <f>IF($C35='4. Board Level Worksheet'!$C$5,'4. Board Level Worksheet'!$C$19,"")</f>
        <v/>
      </c>
      <c r="M35" s="80" t="str">
        <f>IF($C35='4. Board Level Worksheet'!$C$5,'4. Board Level Worksheet'!$C$21,"")</f>
        <v/>
      </c>
      <c r="N35" s="80" t="str">
        <f>IF($C35='4. Board Level Worksheet'!$C$5,'4. Board Level Worksheet'!$C$28,"")</f>
        <v/>
      </c>
      <c r="O35" s="80" t="str">
        <f>IF($C35='4. Board Level Worksheet'!$C$5,'4. Board Level Worksheet'!#REF!,"")</f>
        <v/>
      </c>
      <c r="P35" t="s">
        <v>207</v>
      </c>
      <c r="Q35" s="78">
        <v>0.1009</v>
      </c>
      <c r="R35" s="78">
        <v>0.1009</v>
      </c>
      <c r="S35" s="78">
        <v>5.1728000000000003E-2</v>
      </c>
      <c r="T35" s="78">
        <v>8.0000000000000002E-3</v>
      </c>
      <c r="U35" s="79">
        <v>215</v>
      </c>
      <c r="V35" s="79">
        <f t="shared" si="0"/>
        <v>0.215</v>
      </c>
    </row>
    <row r="36" spans="1:22">
      <c r="A36">
        <v>34</v>
      </c>
      <c r="B36" s="105">
        <v>31</v>
      </c>
      <c r="C36" t="s">
        <v>208</v>
      </c>
      <c r="D36" s="16"/>
      <c r="E36" s="16"/>
      <c r="F36" s="16"/>
      <c r="G36" s="16"/>
      <c r="H36" s="16"/>
      <c r="I36" s="16"/>
      <c r="J36" s="16"/>
      <c r="K36" s="78" t="str">
        <f>IF($C36='4. Board Level Worksheet'!$C$5,'4. Board Level Worksheet'!$C$18,"")</f>
        <v/>
      </c>
      <c r="L36" s="78" t="str">
        <f>IF($C36='4. Board Level Worksheet'!$C$5,'4. Board Level Worksheet'!$C$19,"")</f>
        <v/>
      </c>
      <c r="M36" s="80" t="str">
        <f>IF($C36='4. Board Level Worksheet'!$C$5,'4. Board Level Worksheet'!$C$21,"")</f>
        <v/>
      </c>
      <c r="N36" s="80" t="str">
        <f>IF($C36='4. Board Level Worksheet'!$C$5,'4. Board Level Worksheet'!$C$28,"")</f>
        <v/>
      </c>
      <c r="O36" s="80" t="str">
        <f>IF($C36='4. Board Level Worksheet'!$C$5,'4. Board Level Worksheet'!#REF!,"")</f>
        <v/>
      </c>
      <c r="P36" t="s">
        <v>208</v>
      </c>
      <c r="Q36" s="78">
        <v>0.15670000000000001</v>
      </c>
      <c r="R36" s="78">
        <v>0.15670000000000001</v>
      </c>
      <c r="S36" s="78">
        <v>6.7409999999999998E-2</v>
      </c>
      <c r="T36" s="78">
        <v>1.0999999999999999E-2</v>
      </c>
      <c r="U36" s="79">
        <v>56</v>
      </c>
      <c r="V36" s="79">
        <f t="shared" si="0"/>
        <v>5.6000000000000001E-2</v>
      </c>
    </row>
    <row r="37" spans="1:22">
      <c r="A37">
        <v>35</v>
      </c>
      <c r="B37" s="105">
        <v>32</v>
      </c>
      <c r="C37" t="s">
        <v>209</v>
      </c>
      <c r="D37" s="16"/>
      <c r="E37" s="16"/>
      <c r="F37" s="16"/>
      <c r="G37" s="16"/>
      <c r="H37" s="16"/>
      <c r="I37" s="16"/>
      <c r="J37" s="16"/>
      <c r="K37" s="78" t="str">
        <f>IF($C37='4. Board Level Worksheet'!$C$5,'4. Board Level Worksheet'!$C$18,"")</f>
        <v/>
      </c>
      <c r="L37" s="78" t="str">
        <f>IF($C37='4. Board Level Worksheet'!$C$5,'4. Board Level Worksheet'!$C$19,"")</f>
        <v/>
      </c>
      <c r="M37" s="80" t="str">
        <f>IF($C37='4. Board Level Worksheet'!$C$5,'4. Board Level Worksheet'!$C$21,"")</f>
        <v/>
      </c>
      <c r="N37" s="80" t="str">
        <f>IF($C37='4. Board Level Worksheet'!$C$5,'4. Board Level Worksheet'!$C$28,"")</f>
        <v/>
      </c>
      <c r="O37" s="80" t="str">
        <f>IF($C37='4. Board Level Worksheet'!$C$5,'4. Board Level Worksheet'!#REF!,"")</f>
        <v/>
      </c>
      <c r="P37" t="s">
        <v>209</v>
      </c>
      <c r="Q37" s="78">
        <v>0.1764</v>
      </c>
      <c r="R37" s="78">
        <v>0.1764</v>
      </c>
      <c r="S37" s="78">
        <v>9.3118000000000006E-2</v>
      </c>
      <c r="T37" s="78">
        <v>1.4E-2</v>
      </c>
      <c r="U37" s="79">
        <v>37</v>
      </c>
      <c r="V37" s="79">
        <f t="shared" si="0"/>
        <v>3.6999999999999998E-2</v>
      </c>
    </row>
    <row r="38" spans="1:22">
      <c r="A38">
        <v>36</v>
      </c>
      <c r="B38" s="105" t="s">
        <v>210</v>
      </c>
      <c r="C38" t="s">
        <v>211</v>
      </c>
      <c r="D38" s="16"/>
      <c r="E38" s="16"/>
      <c r="F38" s="16"/>
      <c r="G38" s="16"/>
      <c r="H38" s="16"/>
      <c r="I38" s="16"/>
      <c r="J38" s="16"/>
      <c r="K38" s="78" t="str">
        <f>IF($C38='4. Board Level Worksheet'!$C$5,'4. Board Level Worksheet'!$C$18,"")</f>
        <v/>
      </c>
      <c r="L38" s="78" t="str">
        <f>IF($C38='4. Board Level Worksheet'!$C$5,'4. Board Level Worksheet'!$C$19,"")</f>
        <v/>
      </c>
      <c r="M38" s="80" t="str">
        <f>IF($C38='4. Board Level Worksheet'!$C$5,'4. Board Level Worksheet'!$C$21,"")</f>
        <v/>
      </c>
      <c r="N38" s="80" t="str">
        <f>IF($C38='4. Board Level Worksheet'!$C$5,'4. Board Level Worksheet'!$C$28,"")</f>
        <v/>
      </c>
      <c r="O38" s="80" t="str">
        <f>IF($C38='4. Board Level Worksheet'!$C$5,'4. Board Level Worksheet'!#REF!,"")</f>
        <v/>
      </c>
      <c r="P38" t="s">
        <v>211</v>
      </c>
      <c r="Q38" s="78">
        <v>5.0700000000000002E-2</v>
      </c>
      <c r="R38" s="78">
        <v>5.0700000000000002E-2</v>
      </c>
      <c r="S38" s="78">
        <v>2.0788999999999998E-2</v>
      </c>
      <c r="T38" s="78">
        <v>6.0000000000000001E-3</v>
      </c>
      <c r="U38" s="79">
        <v>7</v>
      </c>
      <c r="V38" s="79">
        <f t="shared" si="0"/>
        <v>7.0000000000000001E-3</v>
      </c>
    </row>
    <row r="39" spans="1:22">
      <c r="A39">
        <v>37</v>
      </c>
      <c r="B39" s="105" t="s">
        <v>212</v>
      </c>
      <c r="C39" t="s">
        <v>213</v>
      </c>
      <c r="D39" s="16"/>
      <c r="E39" s="16"/>
      <c r="F39" s="16"/>
      <c r="G39" s="16"/>
      <c r="H39" s="16"/>
      <c r="I39" s="16"/>
      <c r="J39" s="16"/>
      <c r="K39" s="78" t="str">
        <f>IF($C39='4. Board Level Worksheet'!$C$5,'4. Board Level Worksheet'!$C$18,"")</f>
        <v/>
      </c>
      <c r="L39" s="78" t="str">
        <f>IF($C39='4. Board Level Worksheet'!$C$5,'4. Board Level Worksheet'!$C$19,"")</f>
        <v/>
      </c>
      <c r="M39" s="80" t="str">
        <f>IF($C39='4. Board Level Worksheet'!$C$5,'4. Board Level Worksheet'!$C$21,"")</f>
        <v/>
      </c>
      <c r="N39" s="80" t="str">
        <f>IF($C39='4. Board Level Worksheet'!$C$5,'4. Board Level Worksheet'!$C$28,"")</f>
        <v/>
      </c>
      <c r="O39" s="80" t="str">
        <f>IF($C39='4. Board Level Worksheet'!$C$5,'4. Board Level Worksheet'!#REF!,"")</f>
        <v/>
      </c>
      <c r="P39" t="s">
        <v>213</v>
      </c>
      <c r="Q39" s="78">
        <v>4.2900000000000001E-2</v>
      </c>
      <c r="R39" s="78">
        <v>4.2900000000000001E-2</v>
      </c>
      <c r="S39" s="78">
        <v>1.6799000000000001E-2</v>
      </c>
      <c r="T39" s="78">
        <v>4.0000000000000001E-3</v>
      </c>
      <c r="U39" s="79">
        <v>4</v>
      </c>
      <c r="V39" s="79">
        <f t="shared" si="0"/>
        <v>4.0000000000000001E-3</v>
      </c>
    </row>
    <row r="40" spans="1:22">
      <c r="A40">
        <v>38</v>
      </c>
      <c r="B40" s="105" t="s">
        <v>214</v>
      </c>
      <c r="C40" t="s">
        <v>215</v>
      </c>
      <c r="D40" s="16"/>
      <c r="E40" s="16"/>
      <c r="F40" s="16"/>
      <c r="G40" s="16"/>
      <c r="H40" s="16"/>
      <c r="I40" s="16"/>
      <c r="J40" s="16"/>
      <c r="K40" s="78" t="str">
        <f>IF($C40='4. Board Level Worksheet'!$C$5,'4. Board Level Worksheet'!$C$18,"")</f>
        <v/>
      </c>
      <c r="L40" s="78" t="str">
        <f>IF($C40='4. Board Level Worksheet'!$C$5,'4. Board Level Worksheet'!$C$19,"")</f>
        <v/>
      </c>
      <c r="M40" s="80" t="str">
        <f>IF($C40='4. Board Level Worksheet'!$C$5,'4. Board Level Worksheet'!$C$21,"")</f>
        <v/>
      </c>
      <c r="N40" s="80" t="str">
        <f>IF($C40='4. Board Level Worksheet'!$C$5,'4. Board Level Worksheet'!$C$28,"")</f>
        <v/>
      </c>
      <c r="O40" s="80" t="str">
        <f>IF($C40='4. Board Level Worksheet'!$C$5,'4. Board Level Worksheet'!#REF!,"")</f>
        <v/>
      </c>
      <c r="P40" t="s">
        <v>215</v>
      </c>
      <c r="Q40" s="78">
        <v>0.21029999999999999</v>
      </c>
      <c r="R40" s="78">
        <v>0.21029999999999999</v>
      </c>
      <c r="S40" s="78">
        <v>9.6697000000000005E-2</v>
      </c>
      <c r="T40" s="78">
        <v>1.7999999999999999E-2</v>
      </c>
      <c r="U40" s="79">
        <v>22</v>
      </c>
      <c r="V40" s="79">
        <f t="shared" si="0"/>
        <v>2.1999999999999999E-2</v>
      </c>
    </row>
    <row r="41" spans="1:22">
      <c r="A41">
        <v>39</v>
      </c>
      <c r="B41" s="105" t="s">
        <v>216</v>
      </c>
      <c r="C41" t="s">
        <v>217</v>
      </c>
      <c r="D41" s="16"/>
      <c r="E41" s="16"/>
      <c r="F41" s="16"/>
      <c r="G41" s="16"/>
      <c r="H41" s="16"/>
      <c r="I41" s="16"/>
      <c r="J41" s="16"/>
      <c r="K41" s="78" t="str">
        <f>IF($C41='4. Board Level Worksheet'!$C$5,'4. Board Level Worksheet'!$C$18,"")</f>
        <v/>
      </c>
      <c r="L41" s="78" t="str">
        <f>IF($C41='4. Board Level Worksheet'!$C$5,'4. Board Level Worksheet'!$C$19,"")</f>
        <v/>
      </c>
      <c r="M41" s="80" t="str">
        <f>IF($C41='4. Board Level Worksheet'!$C$5,'4. Board Level Worksheet'!$C$21,"")</f>
        <v/>
      </c>
      <c r="N41" s="80" t="str">
        <f>IF($C41='4. Board Level Worksheet'!$C$5,'4. Board Level Worksheet'!$C$28,"")</f>
        <v/>
      </c>
      <c r="O41" s="80" t="str">
        <f>IF($C41='4. Board Level Worksheet'!$C$5,'4. Board Level Worksheet'!#REF!,"")</f>
        <v/>
      </c>
      <c r="P41" t="s">
        <v>217</v>
      </c>
      <c r="Q41" s="78">
        <v>7.7700000000000005E-2</v>
      </c>
      <c r="R41" s="78">
        <v>7.7700000000000005E-2</v>
      </c>
      <c r="S41" s="78">
        <v>2.5885999999999999E-2</v>
      </c>
      <c r="T41" s="78">
        <v>5.0000000000000001E-3</v>
      </c>
      <c r="U41" s="79">
        <v>7</v>
      </c>
      <c r="V41" s="79">
        <f t="shared" si="0"/>
        <v>7.0000000000000001E-3</v>
      </c>
    </row>
    <row r="42" spans="1:22">
      <c r="A42">
        <v>40</v>
      </c>
      <c r="B42" s="105">
        <v>35</v>
      </c>
      <c r="C42" t="s">
        <v>218</v>
      </c>
      <c r="D42" s="16"/>
      <c r="E42" s="16"/>
      <c r="F42" s="16"/>
      <c r="G42" s="16"/>
      <c r="H42" s="16"/>
      <c r="I42" s="16"/>
      <c r="J42" s="16"/>
      <c r="K42" s="78" t="str">
        <f>IF($C42='4. Board Level Worksheet'!$C$5,'4. Board Level Worksheet'!$C$18,"")</f>
        <v/>
      </c>
      <c r="L42" s="78" t="str">
        <f>IF($C42='4. Board Level Worksheet'!$C$5,'4. Board Level Worksheet'!$C$19,"")</f>
        <v/>
      </c>
      <c r="M42" s="80" t="str">
        <f>IF($C42='4. Board Level Worksheet'!$C$5,'4. Board Level Worksheet'!$C$21,"")</f>
        <v/>
      </c>
      <c r="N42" s="80" t="str">
        <f>IF($C42='4. Board Level Worksheet'!$C$5,'4. Board Level Worksheet'!$C$28,"")</f>
        <v/>
      </c>
      <c r="O42" s="80" t="str">
        <f>IF($C42='4. Board Level Worksheet'!$C$5,'4. Board Level Worksheet'!#REF!,"")</f>
        <v/>
      </c>
      <c r="P42" t="s">
        <v>218</v>
      </c>
      <c r="Q42" s="78">
        <v>0.1245</v>
      </c>
      <c r="R42" s="78">
        <v>0.1245</v>
      </c>
      <c r="S42" s="78">
        <v>6.7335000000000006E-2</v>
      </c>
      <c r="T42" s="78">
        <v>1.2999999999999999E-2</v>
      </c>
      <c r="U42" s="79">
        <v>15</v>
      </c>
      <c r="V42" s="79">
        <f t="shared" si="0"/>
        <v>1.4999999999999999E-2</v>
      </c>
    </row>
    <row r="43" spans="1:22">
      <c r="A43">
        <v>41</v>
      </c>
      <c r="B43" s="105">
        <v>36</v>
      </c>
      <c r="C43" t="s">
        <v>219</v>
      </c>
      <c r="D43" s="16"/>
      <c r="E43" s="16"/>
      <c r="F43" s="16"/>
      <c r="G43" s="16"/>
      <c r="H43" s="16"/>
      <c r="I43" s="16"/>
      <c r="J43" s="16"/>
      <c r="K43" s="78" t="str">
        <f>IF($C43='4. Board Level Worksheet'!$C$5,'4. Board Level Worksheet'!$C$18,"")</f>
        <v/>
      </c>
      <c r="L43" s="78" t="str">
        <f>IF($C43='4. Board Level Worksheet'!$C$5,'4. Board Level Worksheet'!$C$19,"")</f>
        <v/>
      </c>
      <c r="M43" s="80" t="str">
        <f>IF($C43='4. Board Level Worksheet'!$C$5,'4. Board Level Worksheet'!$C$21,"")</f>
        <v/>
      </c>
      <c r="N43" s="80" t="str">
        <f>IF($C43='4. Board Level Worksheet'!$C$5,'4. Board Level Worksheet'!$C$28,"")</f>
        <v/>
      </c>
      <c r="O43" s="80" t="str">
        <f>IF($C43='4. Board Level Worksheet'!$C$5,'4. Board Level Worksheet'!#REF!,"")</f>
        <v/>
      </c>
      <c r="P43" t="s">
        <v>219</v>
      </c>
      <c r="Q43" s="78">
        <v>0.1583</v>
      </c>
      <c r="R43" s="78">
        <v>0.1583</v>
      </c>
      <c r="S43" s="78">
        <v>6.6228999999999996E-2</v>
      </c>
      <c r="T43" s="78">
        <v>1.2999999999999999E-2</v>
      </c>
      <c r="U43" s="79">
        <v>52</v>
      </c>
      <c r="V43" s="79">
        <f t="shared" si="0"/>
        <v>5.1999999999999998E-2</v>
      </c>
    </row>
    <row r="44" spans="1:22">
      <c r="A44">
        <v>42</v>
      </c>
      <c r="B44" s="105">
        <v>37</v>
      </c>
      <c r="C44" t="s">
        <v>220</v>
      </c>
      <c r="D44" s="16"/>
      <c r="E44" s="16"/>
      <c r="F44" s="16"/>
      <c r="G44" s="16"/>
      <c r="H44" s="16"/>
      <c r="I44" s="16"/>
      <c r="J44" s="16"/>
      <c r="K44" s="78" t="str">
        <f>IF($C44='4. Board Level Worksheet'!$C$5,'4. Board Level Worksheet'!$C$18,"")</f>
        <v/>
      </c>
      <c r="L44" s="78" t="str">
        <f>IF($C44='4. Board Level Worksheet'!$C$5,'4. Board Level Worksheet'!$C$19,"")</f>
        <v/>
      </c>
      <c r="M44" s="80" t="str">
        <f>IF($C44='4. Board Level Worksheet'!$C$5,'4. Board Level Worksheet'!$C$21,"")</f>
        <v/>
      </c>
      <c r="N44" s="80" t="str">
        <f>IF($C44='4. Board Level Worksheet'!$C$5,'4. Board Level Worksheet'!$C$28,"")</f>
        <v/>
      </c>
      <c r="O44" s="80" t="str">
        <f>IF($C44='4. Board Level Worksheet'!$C$5,'4. Board Level Worksheet'!#REF!,"")</f>
        <v/>
      </c>
      <c r="P44" t="s">
        <v>220</v>
      </c>
      <c r="Q44" s="78">
        <v>0.45450000000000002</v>
      </c>
      <c r="R44" s="78">
        <v>0.45450000000000002</v>
      </c>
      <c r="S44" s="78">
        <v>0.28309000000000001</v>
      </c>
      <c r="T44" s="78">
        <v>0.04</v>
      </c>
      <c r="U44" s="79">
        <v>167</v>
      </c>
      <c r="V44" s="79">
        <f t="shared" si="0"/>
        <v>0.16700000000000001</v>
      </c>
    </row>
    <row r="45" spans="1:22">
      <c r="A45">
        <v>43</v>
      </c>
      <c r="B45" s="105">
        <v>38</v>
      </c>
      <c r="C45" t="s">
        <v>221</v>
      </c>
      <c r="D45" s="16"/>
      <c r="E45" s="16"/>
      <c r="F45" s="16"/>
      <c r="G45" s="16"/>
      <c r="H45" s="16"/>
      <c r="I45" s="16"/>
      <c r="J45" s="16"/>
      <c r="K45" s="78" t="str">
        <f>IF($C45='4. Board Level Worksheet'!$C$5,'4. Board Level Worksheet'!$C$18,"")</f>
        <v/>
      </c>
      <c r="L45" s="78" t="str">
        <f>IF($C45='4. Board Level Worksheet'!$C$5,'4. Board Level Worksheet'!$C$19,"")</f>
        <v/>
      </c>
      <c r="M45" s="80" t="str">
        <f>IF($C45='4. Board Level Worksheet'!$C$5,'4. Board Level Worksheet'!$C$21,"")</f>
        <v/>
      </c>
      <c r="N45" s="80" t="str">
        <f>IF($C45='4. Board Level Worksheet'!$C$5,'4. Board Level Worksheet'!$C$28,"")</f>
        <v/>
      </c>
      <c r="O45" s="80" t="str">
        <f>IF($C45='4. Board Level Worksheet'!$C$5,'4. Board Level Worksheet'!#REF!,"")</f>
        <v/>
      </c>
      <c r="P45" t="s">
        <v>221</v>
      </c>
      <c r="Q45" s="78">
        <v>0.52380000000000004</v>
      </c>
      <c r="R45" s="78">
        <v>0.52380000000000004</v>
      </c>
      <c r="S45" s="78">
        <v>0.30314200000000002</v>
      </c>
      <c r="T45" s="78">
        <v>0.05</v>
      </c>
      <c r="U45" s="79">
        <v>69</v>
      </c>
      <c r="V45" s="79">
        <f t="shared" si="0"/>
        <v>6.9000000000000006E-2</v>
      </c>
    </row>
    <row r="46" spans="1:22">
      <c r="A46">
        <v>44</v>
      </c>
      <c r="B46" s="105">
        <v>39</v>
      </c>
      <c r="C46" t="s">
        <v>222</v>
      </c>
      <c r="D46" s="16"/>
      <c r="E46" s="16"/>
      <c r="F46" s="16"/>
      <c r="G46" s="16"/>
      <c r="H46" s="16"/>
      <c r="I46" s="16"/>
      <c r="J46" s="16"/>
      <c r="K46" s="78" t="str">
        <f>IF($C46='4. Board Level Worksheet'!$C$5,'4. Board Level Worksheet'!$C$18,"")</f>
        <v/>
      </c>
      <c r="L46" s="78" t="str">
        <f>IF($C46='4. Board Level Worksheet'!$C$5,'4. Board Level Worksheet'!$C$19,"")</f>
        <v/>
      </c>
      <c r="M46" s="80" t="str">
        <f>IF($C46='4. Board Level Worksheet'!$C$5,'4. Board Level Worksheet'!$C$21,"")</f>
        <v/>
      </c>
      <c r="N46" s="80" t="str">
        <f>IF($C46='4. Board Level Worksheet'!$C$5,'4. Board Level Worksheet'!$C$28,"")</f>
        <v/>
      </c>
      <c r="O46" s="80" t="str">
        <f>IF($C46='4. Board Level Worksheet'!$C$5,'4. Board Level Worksheet'!#REF!,"")</f>
        <v/>
      </c>
      <c r="P46" t="s">
        <v>222</v>
      </c>
      <c r="Q46" s="78">
        <v>0.22700000000000001</v>
      </c>
      <c r="R46" s="78">
        <v>0.22700000000000001</v>
      </c>
      <c r="S46" s="78">
        <v>0.12596599999999999</v>
      </c>
      <c r="T46" s="78">
        <v>2.1000000000000001E-2</v>
      </c>
      <c r="U46" s="79">
        <v>75</v>
      </c>
      <c r="V46" s="79">
        <f t="shared" si="0"/>
        <v>7.4999999999999997E-2</v>
      </c>
    </row>
    <row r="47" spans="1:22">
      <c r="A47">
        <v>45</v>
      </c>
      <c r="B47" s="105">
        <v>40</v>
      </c>
      <c r="C47" t="s">
        <v>223</v>
      </c>
      <c r="D47" s="16"/>
      <c r="E47" s="16"/>
      <c r="F47" s="16"/>
      <c r="G47" s="16"/>
      <c r="H47" s="16"/>
      <c r="I47" s="16"/>
      <c r="J47" s="16"/>
      <c r="K47" s="78" t="str">
        <f>IF($C47='4. Board Level Worksheet'!$C$5,'4. Board Level Worksheet'!$C$18,"")</f>
        <v/>
      </c>
      <c r="L47" s="78" t="str">
        <f>IF($C47='4. Board Level Worksheet'!$C$5,'4. Board Level Worksheet'!$C$19,"")</f>
        <v/>
      </c>
      <c r="M47" s="80" t="str">
        <f>IF($C47='4. Board Level Worksheet'!$C$5,'4. Board Level Worksheet'!$C$21,"")</f>
        <v/>
      </c>
      <c r="N47" s="80" t="str">
        <f>IF($C47='4. Board Level Worksheet'!$C$5,'4. Board Level Worksheet'!$C$28,"")</f>
        <v/>
      </c>
      <c r="O47" s="80" t="str">
        <f>IF($C47='4. Board Level Worksheet'!$C$5,'4. Board Level Worksheet'!#REF!,"")</f>
        <v/>
      </c>
      <c r="P47" t="s">
        <v>223</v>
      </c>
      <c r="Q47" s="78">
        <v>2.0247000000000002</v>
      </c>
      <c r="R47" s="78">
        <v>2.0247000000000002</v>
      </c>
      <c r="S47" s="78">
        <v>1.2219199999999999</v>
      </c>
      <c r="T47" s="78">
        <v>0.20300000000000001</v>
      </c>
      <c r="U47" s="79">
        <v>1766</v>
      </c>
      <c r="V47" s="79">
        <f t="shared" si="0"/>
        <v>1.766</v>
      </c>
    </row>
    <row r="48" spans="1:22">
      <c r="A48">
        <v>46</v>
      </c>
      <c r="B48" s="105">
        <v>41</v>
      </c>
      <c r="C48" t="s">
        <v>224</v>
      </c>
      <c r="D48" s="16"/>
      <c r="E48" s="16"/>
      <c r="F48" s="16"/>
      <c r="G48" s="16"/>
      <c r="H48" s="16"/>
      <c r="I48" s="16"/>
      <c r="J48" s="16"/>
      <c r="K48" s="78" t="str">
        <f>IF($C48='4. Board Level Worksheet'!$C$5,'4. Board Level Worksheet'!$C$18,"")</f>
        <v/>
      </c>
      <c r="L48" s="78" t="str">
        <f>IF($C48='4. Board Level Worksheet'!$C$5,'4. Board Level Worksheet'!$C$19,"")</f>
        <v/>
      </c>
      <c r="M48" s="80" t="str">
        <f>IF($C48='4. Board Level Worksheet'!$C$5,'4. Board Level Worksheet'!$C$21,"")</f>
        <v/>
      </c>
      <c r="N48" s="80" t="str">
        <f>IF($C48='4. Board Level Worksheet'!$C$5,'4. Board Level Worksheet'!$C$28,"")</f>
        <v/>
      </c>
      <c r="O48" s="80" t="str">
        <f>IF($C48='4. Board Level Worksheet'!$C$5,'4. Board Level Worksheet'!#REF!,"")</f>
        <v/>
      </c>
      <c r="P48" t="s">
        <v>224</v>
      </c>
      <c r="Q48" s="78">
        <v>0.3679</v>
      </c>
      <c r="R48" s="78">
        <v>0.3679</v>
      </c>
      <c r="S48" s="78">
        <v>0.211308</v>
      </c>
      <c r="T48" s="78">
        <v>3.2000000000000001E-2</v>
      </c>
      <c r="U48" s="79">
        <v>39</v>
      </c>
      <c r="V48" s="79">
        <f t="shared" si="0"/>
        <v>3.9E-2</v>
      </c>
    </row>
    <row r="49" spans="1:22">
      <c r="A49">
        <v>47</v>
      </c>
      <c r="B49" s="105">
        <v>42</v>
      </c>
      <c r="C49" t="s">
        <v>225</v>
      </c>
      <c r="D49" s="16"/>
      <c r="E49" s="16"/>
      <c r="F49" s="16"/>
      <c r="G49" s="16"/>
      <c r="H49" s="16"/>
      <c r="I49" s="16"/>
      <c r="J49" s="16"/>
      <c r="K49" s="78" t="str">
        <f>IF($C49='4. Board Level Worksheet'!$C$5,'4. Board Level Worksheet'!$C$18,"")</f>
        <v/>
      </c>
      <c r="L49" s="78" t="str">
        <f>IF($C49='4. Board Level Worksheet'!$C$5,'4. Board Level Worksheet'!$C$19,"")</f>
        <v/>
      </c>
      <c r="M49" s="80" t="str">
        <f>IF($C49='4. Board Level Worksheet'!$C$5,'4. Board Level Worksheet'!$C$21,"")</f>
        <v/>
      </c>
      <c r="N49" s="80" t="str">
        <f>IF($C49='4. Board Level Worksheet'!$C$5,'4. Board Level Worksheet'!$C$28,"")</f>
        <v/>
      </c>
      <c r="O49" s="80" t="str">
        <f>IF($C49='4. Board Level Worksheet'!$C$5,'4. Board Level Worksheet'!#REF!,"")</f>
        <v/>
      </c>
      <c r="P49" t="s">
        <v>225</v>
      </c>
      <c r="Q49" s="78">
        <v>1.0269999999999999</v>
      </c>
      <c r="R49" s="78">
        <v>1.0269999999999999</v>
      </c>
      <c r="S49" s="78">
        <v>0.69728900000000005</v>
      </c>
      <c r="T49" s="78">
        <v>0.14099999999999999</v>
      </c>
      <c r="U49" s="79">
        <v>499</v>
      </c>
      <c r="V49" s="79">
        <f t="shared" si="0"/>
        <v>0.499</v>
      </c>
    </row>
    <row r="50" spans="1:22">
      <c r="A50">
        <v>48</v>
      </c>
      <c r="B50" s="105">
        <v>43</v>
      </c>
      <c r="C50" t="s">
        <v>226</v>
      </c>
      <c r="D50" s="16"/>
      <c r="E50" s="16"/>
      <c r="F50" s="16"/>
      <c r="G50" s="16"/>
      <c r="H50" s="16"/>
      <c r="I50" s="16"/>
      <c r="J50" s="16"/>
      <c r="K50" s="78" t="str">
        <f>IF($C50='4. Board Level Worksheet'!$C$5,'4. Board Level Worksheet'!$C$18,"")</f>
        <v/>
      </c>
      <c r="L50" s="78" t="str">
        <f>IF($C50='4. Board Level Worksheet'!$C$5,'4. Board Level Worksheet'!$C$19,"")</f>
        <v/>
      </c>
      <c r="M50" s="80" t="str">
        <f>IF($C50='4. Board Level Worksheet'!$C$5,'4. Board Level Worksheet'!$C$21,"")</f>
        <v/>
      </c>
      <c r="N50" s="80" t="str">
        <f>IF($C50='4. Board Level Worksheet'!$C$5,'4. Board Level Worksheet'!$C$28,"")</f>
        <v/>
      </c>
      <c r="O50" s="80" t="str">
        <f>IF($C50='4. Board Level Worksheet'!$C$5,'4. Board Level Worksheet'!#REF!,"")</f>
        <v/>
      </c>
      <c r="P50" t="s">
        <v>226</v>
      </c>
      <c r="Q50" s="78">
        <v>1.7021999999999999</v>
      </c>
      <c r="R50" s="78">
        <v>1.7021999999999999</v>
      </c>
      <c r="S50" s="78">
        <v>1.0343929999999999</v>
      </c>
      <c r="T50" s="78">
        <v>0.13100000000000001</v>
      </c>
      <c r="U50" s="79">
        <v>160</v>
      </c>
      <c r="V50" s="79">
        <f t="shared" si="0"/>
        <v>0.16</v>
      </c>
    </row>
    <row r="51" spans="1:22">
      <c r="A51">
        <v>49</v>
      </c>
      <c r="B51" s="105">
        <v>44</v>
      </c>
      <c r="C51" t="s">
        <v>227</v>
      </c>
      <c r="D51" s="16"/>
      <c r="E51" s="16"/>
      <c r="F51" s="16"/>
      <c r="G51" s="16"/>
      <c r="H51" s="16"/>
      <c r="I51" s="16"/>
      <c r="J51" s="16"/>
      <c r="K51" s="78" t="str">
        <f>IF($C51='4. Board Level Worksheet'!$C$5,'4. Board Level Worksheet'!$C$18,"")</f>
        <v/>
      </c>
      <c r="L51" s="78" t="str">
        <f>IF($C51='4. Board Level Worksheet'!$C$5,'4. Board Level Worksheet'!$C$19,"")</f>
        <v/>
      </c>
      <c r="M51" s="80" t="str">
        <f>IF($C51='4. Board Level Worksheet'!$C$5,'4. Board Level Worksheet'!$C$21,"")</f>
        <v/>
      </c>
      <c r="N51" s="80" t="str">
        <f>IF($C51='4. Board Level Worksheet'!$C$5,'4. Board Level Worksheet'!$C$28,"")</f>
        <v/>
      </c>
      <c r="O51" s="80" t="str">
        <f>IF($C51='4. Board Level Worksheet'!$C$5,'4. Board Level Worksheet'!#REF!,"")</f>
        <v/>
      </c>
      <c r="P51" t="s">
        <v>227</v>
      </c>
      <c r="Q51" s="78">
        <v>0.50039999999999996</v>
      </c>
      <c r="R51" s="78">
        <v>0.50039999999999996</v>
      </c>
      <c r="S51" s="78">
        <v>0.31176100000000001</v>
      </c>
      <c r="T51" s="78">
        <v>5.5E-2</v>
      </c>
      <c r="U51" s="79">
        <v>72</v>
      </c>
      <c r="V51" s="79">
        <f t="shared" si="0"/>
        <v>7.1999999999999995E-2</v>
      </c>
    </row>
    <row r="52" spans="1:22">
      <c r="A52">
        <v>50</v>
      </c>
      <c r="B52" s="105">
        <v>45</v>
      </c>
      <c r="C52" t="s">
        <v>228</v>
      </c>
      <c r="D52" s="16"/>
      <c r="E52" s="16"/>
      <c r="F52" s="16"/>
      <c r="G52" s="16"/>
      <c r="H52" s="16"/>
      <c r="I52" s="16"/>
      <c r="J52" s="16"/>
      <c r="K52" s="78" t="str">
        <f>IF($C52='4. Board Level Worksheet'!$C$5,'4. Board Level Worksheet'!$C$18,"")</f>
        <v/>
      </c>
      <c r="L52" s="78" t="str">
        <f>IF($C52='4. Board Level Worksheet'!$C$5,'4. Board Level Worksheet'!$C$19,"")</f>
        <v/>
      </c>
      <c r="M52" s="80" t="str">
        <f>IF($C52='4. Board Level Worksheet'!$C$5,'4. Board Level Worksheet'!$C$21,"")</f>
        <v/>
      </c>
      <c r="N52" s="80" t="str">
        <f>IF($C52='4. Board Level Worksheet'!$C$5,'4. Board Level Worksheet'!$C$28,"")</f>
        <v/>
      </c>
      <c r="O52" s="80" t="str">
        <f>IF($C52='4. Board Level Worksheet'!$C$5,'4. Board Level Worksheet'!#REF!,"")</f>
        <v/>
      </c>
      <c r="P52" t="s">
        <v>228</v>
      </c>
      <c r="Q52" s="78">
        <v>0.47110000000000002</v>
      </c>
      <c r="R52" s="78">
        <v>0.47110000000000002</v>
      </c>
      <c r="S52" s="78">
        <v>0.29539599999999999</v>
      </c>
      <c r="T52" s="78">
        <v>4.7E-2</v>
      </c>
      <c r="U52" s="79">
        <v>98</v>
      </c>
      <c r="V52" s="79">
        <f t="shared" si="0"/>
        <v>9.8000000000000004E-2</v>
      </c>
    </row>
    <row r="53" spans="1:22">
      <c r="A53">
        <v>51</v>
      </c>
      <c r="B53" s="105">
        <v>46</v>
      </c>
      <c r="C53" t="s">
        <v>229</v>
      </c>
      <c r="D53" s="16"/>
      <c r="E53" s="16"/>
      <c r="F53" s="16"/>
      <c r="G53" s="16"/>
      <c r="H53" s="16"/>
      <c r="I53" s="16"/>
      <c r="J53" s="16"/>
      <c r="K53" s="78" t="str">
        <f>IF($C53='4. Board Level Worksheet'!$C$5,'4. Board Level Worksheet'!$C$18,"")</f>
        <v/>
      </c>
      <c r="L53" s="78" t="str">
        <f>IF($C53='4. Board Level Worksheet'!$C$5,'4. Board Level Worksheet'!$C$19,"")</f>
        <v/>
      </c>
      <c r="M53" s="80" t="str">
        <f>IF($C53='4. Board Level Worksheet'!$C$5,'4. Board Level Worksheet'!$C$21,"")</f>
        <v/>
      </c>
      <c r="N53" s="80" t="str">
        <f>IF($C53='4. Board Level Worksheet'!$C$5,'4. Board Level Worksheet'!$C$28,"")</f>
        <v/>
      </c>
      <c r="O53" s="80" t="str">
        <f>IF($C53='4. Board Level Worksheet'!$C$5,'4. Board Level Worksheet'!#REF!,"")</f>
        <v/>
      </c>
      <c r="P53" t="s">
        <v>229</v>
      </c>
      <c r="Q53" s="78">
        <v>0.58199999999999996</v>
      </c>
      <c r="R53" s="78">
        <v>0.58199999999999996</v>
      </c>
      <c r="S53" s="78">
        <v>0.50331700000000001</v>
      </c>
      <c r="T53" s="78">
        <v>7.6999999999999999E-2</v>
      </c>
      <c r="U53" s="79">
        <v>105</v>
      </c>
      <c r="V53" s="79">
        <f t="shared" si="0"/>
        <v>0.105</v>
      </c>
    </row>
    <row r="54" spans="1:22">
      <c r="A54">
        <v>52</v>
      </c>
      <c r="B54" s="105">
        <v>47</v>
      </c>
      <c r="C54" t="s">
        <v>230</v>
      </c>
      <c r="D54" s="16"/>
      <c r="E54" s="16"/>
      <c r="F54" s="16"/>
      <c r="G54" s="16"/>
      <c r="H54" s="16"/>
      <c r="I54" s="16"/>
      <c r="J54" s="16"/>
      <c r="K54" s="78" t="str">
        <f>IF($C54='4. Board Level Worksheet'!$C$5,'4. Board Level Worksheet'!$C$18,"")</f>
        <v/>
      </c>
      <c r="L54" s="78" t="str">
        <f>IF($C54='4. Board Level Worksheet'!$C$5,'4. Board Level Worksheet'!$C$19,"")</f>
        <v/>
      </c>
      <c r="M54" s="80" t="str">
        <f>IF($C54='4. Board Level Worksheet'!$C$5,'4. Board Level Worksheet'!$C$21,"")</f>
        <v/>
      </c>
      <c r="N54" s="80" t="str">
        <f>IF($C54='4. Board Level Worksheet'!$C$5,'4. Board Level Worksheet'!$C$28,"")</f>
        <v/>
      </c>
      <c r="O54" s="80" t="str">
        <f>IF($C54='4. Board Level Worksheet'!$C$5,'4. Board Level Worksheet'!#REF!,"")</f>
        <v/>
      </c>
      <c r="P54" t="s">
        <v>230</v>
      </c>
      <c r="Q54" s="78">
        <v>0.56779999999999997</v>
      </c>
      <c r="R54" s="78">
        <v>0.56779999999999997</v>
      </c>
      <c r="S54" s="78">
        <v>0.41858099999999998</v>
      </c>
      <c r="T54" s="78">
        <v>7.0000000000000007E-2</v>
      </c>
      <c r="U54" s="79">
        <v>283</v>
      </c>
      <c r="V54" s="79">
        <f t="shared" si="0"/>
        <v>0.28299999999999997</v>
      </c>
    </row>
    <row r="55" spans="1:22">
      <c r="A55">
        <v>53</v>
      </c>
      <c r="B55" s="105">
        <v>48</v>
      </c>
      <c r="C55" t="s">
        <v>231</v>
      </c>
      <c r="D55" s="16"/>
      <c r="E55" s="16"/>
      <c r="F55" s="16"/>
      <c r="G55" s="16"/>
      <c r="H55" s="16"/>
      <c r="I55" s="16"/>
      <c r="J55" s="16"/>
      <c r="K55" s="78" t="str">
        <f>IF($C55='4. Board Level Worksheet'!$C$5,'4. Board Level Worksheet'!$C$18,"")</f>
        <v/>
      </c>
      <c r="L55" s="78" t="str">
        <f>IF($C55='4. Board Level Worksheet'!$C$5,'4. Board Level Worksheet'!$C$19,"")</f>
        <v/>
      </c>
      <c r="M55" s="80" t="str">
        <f>IF($C55='4. Board Level Worksheet'!$C$5,'4. Board Level Worksheet'!$C$21,"")</f>
        <v/>
      </c>
      <c r="N55" s="80" t="str">
        <f>IF($C55='4. Board Level Worksheet'!$C$5,'4. Board Level Worksheet'!$C$28,"")</f>
        <v/>
      </c>
      <c r="O55" s="80" t="str">
        <f>IF($C55='4. Board Level Worksheet'!$C$5,'4. Board Level Worksheet'!#REF!,"")</f>
        <v/>
      </c>
      <c r="P55" t="s">
        <v>231</v>
      </c>
      <c r="Q55" s="78">
        <v>0.20699999999999999</v>
      </c>
      <c r="R55" s="78">
        <v>0.20699999999999999</v>
      </c>
      <c r="S55" s="78">
        <v>0.108067</v>
      </c>
      <c r="T55" s="78">
        <v>0.02</v>
      </c>
      <c r="U55" s="79">
        <v>25</v>
      </c>
      <c r="V55" s="79">
        <f t="shared" si="0"/>
        <v>2.5000000000000001E-2</v>
      </c>
    </row>
    <row r="56" spans="1:22">
      <c r="A56">
        <v>54</v>
      </c>
      <c r="B56" s="105">
        <v>49</v>
      </c>
      <c r="C56" t="s">
        <v>232</v>
      </c>
      <c r="D56" s="16"/>
      <c r="E56" s="16"/>
      <c r="F56" s="16"/>
      <c r="G56" s="16"/>
      <c r="H56" s="16"/>
      <c r="I56" s="16"/>
      <c r="J56" s="16"/>
      <c r="K56" s="78" t="str">
        <f>IF($C56='4. Board Level Worksheet'!$C$5,'4. Board Level Worksheet'!$C$18,"")</f>
        <v/>
      </c>
      <c r="L56" s="78" t="str">
        <f>IF($C56='4. Board Level Worksheet'!$C$5,'4. Board Level Worksheet'!$C$19,"")</f>
        <v/>
      </c>
      <c r="M56" s="80" t="str">
        <f>IF($C56='4. Board Level Worksheet'!$C$5,'4. Board Level Worksheet'!$C$21,"")</f>
        <v/>
      </c>
      <c r="N56" s="80" t="str">
        <f>IF($C56='4. Board Level Worksheet'!$C$5,'4. Board Level Worksheet'!$C$28,"")</f>
        <v/>
      </c>
      <c r="O56" s="80" t="str">
        <f>IF($C56='4. Board Level Worksheet'!$C$5,'4. Board Level Worksheet'!#REF!,"")</f>
        <v/>
      </c>
      <c r="P56" t="s">
        <v>232</v>
      </c>
      <c r="Q56" s="78">
        <v>0.50080000000000002</v>
      </c>
      <c r="R56" s="78">
        <v>0.50080000000000002</v>
      </c>
      <c r="S56" s="78">
        <v>0.34432600000000002</v>
      </c>
      <c r="T56" s="78">
        <v>5.1999999999999998E-2</v>
      </c>
      <c r="U56" s="79">
        <v>69</v>
      </c>
      <c r="V56" s="79">
        <f t="shared" si="0"/>
        <v>6.9000000000000006E-2</v>
      </c>
    </row>
    <row r="57" spans="1:22">
      <c r="A57">
        <v>55</v>
      </c>
      <c r="B57" s="105">
        <v>50</v>
      </c>
      <c r="C57" t="s">
        <v>233</v>
      </c>
      <c r="D57" s="16"/>
      <c r="E57" s="16"/>
      <c r="F57" s="16"/>
      <c r="G57" s="16"/>
      <c r="H57" s="16"/>
      <c r="I57" s="16"/>
      <c r="J57" s="16"/>
      <c r="K57" s="78" t="str">
        <f>IF($C57='4. Board Level Worksheet'!$C$5,'4. Board Level Worksheet'!$C$18,"")</f>
        <v/>
      </c>
      <c r="L57" s="78" t="str">
        <f>IF($C57='4. Board Level Worksheet'!$C$5,'4. Board Level Worksheet'!$C$19,"")</f>
        <v/>
      </c>
      <c r="M57" s="80" t="str">
        <f>IF($C57='4. Board Level Worksheet'!$C$5,'4. Board Level Worksheet'!$C$21,"")</f>
        <v/>
      </c>
      <c r="N57" s="80" t="str">
        <f>IF($C57='4. Board Level Worksheet'!$C$5,'4. Board Level Worksheet'!$C$28,"")</f>
        <v/>
      </c>
      <c r="O57" s="80" t="str">
        <f>IF($C57='4. Board Level Worksheet'!$C$5,'4. Board Level Worksheet'!#REF!,"")</f>
        <v/>
      </c>
      <c r="P57" t="s">
        <v>233</v>
      </c>
      <c r="Q57" s="78">
        <v>0.55230000000000001</v>
      </c>
      <c r="R57" s="78">
        <v>0.55230000000000001</v>
      </c>
      <c r="S57" s="78">
        <v>0.27526099999999998</v>
      </c>
      <c r="T57" s="78">
        <v>5.7000000000000002E-2</v>
      </c>
      <c r="U57" s="79">
        <v>147</v>
      </c>
      <c r="V57" s="79">
        <f t="shared" si="0"/>
        <v>0.14699999999999999</v>
      </c>
    </row>
    <row r="58" spans="1:22">
      <c r="A58">
        <v>56</v>
      </c>
      <c r="B58" s="105">
        <v>51</v>
      </c>
      <c r="C58" t="s">
        <v>234</v>
      </c>
      <c r="D58" s="16"/>
      <c r="E58" s="16"/>
      <c r="F58" s="16"/>
      <c r="G58" s="16"/>
      <c r="H58" s="16"/>
      <c r="I58" s="16"/>
      <c r="J58" s="16"/>
      <c r="K58" s="78" t="str">
        <f>IF($C58='4. Board Level Worksheet'!$C$5,'4. Board Level Worksheet'!$C$18,"")</f>
        <v/>
      </c>
      <c r="L58" s="78" t="str">
        <f>IF($C58='4. Board Level Worksheet'!$C$5,'4. Board Level Worksheet'!$C$19,"")</f>
        <v/>
      </c>
      <c r="M58" s="80" t="str">
        <f>IF($C58='4. Board Level Worksheet'!$C$5,'4. Board Level Worksheet'!$C$21,"")</f>
        <v/>
      </c>
      <c r="N58" s="80" t="str">
        <f>IF($C58='4. Board Level Worksheet'!$C$5,'4. Board Level Worksheet'!$C$28,"")</f>
        <v/>
      </c>
      <c r="O58" s="80" t="str">
        <f>IF($C58='4. Board Level Worksheet'!$C$5,'4. Board Level Worksheet'!#REF!,"")</f>
        <v/>
      </c>
      <c r="P58" t="s">
        <v>234</v>
      </c>
      <c r="Q58" s="78">
        <v>0.27979999999999999</v>
      </c>
      <c r="R58" s="78">
        <v>0.27979999999999999</v>
      </c>
      <c r="S58" s="78">
        <v>0.15335799999999999</v>
      </c>
      <c r="T58" s="78">
        <v>2.4E-2</v>
      </c>
      <c r="U58" s="79">
        <v>117</v>
      </c>
      <c r="V58" s="79">
        <f t="shared" si="0"/>
        <v>0.11700000000000001</v>
      </c>
    </row>
    <row r="59" spans="1:22">
      <c r="A59">
        <v>57</v>
      </c>
      <c r="B59" s="105">
        <v>52</v>
      </c>
      <c r="C59" t="s">
        <v>25</v>
      </c>
      <c r="D59" s="16"/>
      <c r="E59" s="16"/>
      <c r="F59" s="16"/>
      <c r="G59" s="16"/>
      <c r="H59" s="16"/>
      <c r="I59" s="16"/>
      <c r="J59" s="16"/>
      <c r="K59" s="78">
        <f>IF($C59='4. Board Level Worksheet'!$C$5,'4. Board Level Worksheet'!$C$18,"")</f>
        <v>6.7918437763840007</v>
      </c>
      <c r="L59" s="78">
        <f>IF($C59='4. Board Level Worksheet'!$C$5,'4. Board Level Worksheet'!$C$19,"")</f>
        <v>2.2019929999999999</v>
      </c>
      <c r="M59" s="80">
        <f>IF($C59='4. Board Level Worksheet'!$C$5,'4. Board Level Worksheet'!$C$21,"")</f>
        <v>34</v>
      </c>
      <c r="N59" s="80">
        <f>IF($C59='4. Board Level Worksheet'!$C$5,'4. Board Level Worksheet'!$C$28,"")</f>
        <v>207</v>
      </c>
      <c r="O59" s="80" t="e">
        <f>IF($C59='4. Board Level Worksheet'!$C$5,'4. Board Level Worksheet'!#REF!,"")</f>
        <v>#REF!</v>
      </c>
      <c r="P59" t="s">
        <v>25</v>
      </c>
      <c r="Q59" s="78">
        <v>0.35439999999999999</v>
      </c>
      <c r="R59" s="78">
        <v>0.35439999999999999</v>
      </c>
      <c r="S59" s="78">
        <v>0.19218399999999999</v>
      </c>
      <c r="T59" s="78">
        <v>0.03</v>
      </c>
      <c r="U59" s="79">
        <v>178</v>
      </c>
      <c r="V59" s="79">
        <f t="shared" si="0"/>
        <v>0.17799999999999999</v>
      </c>
    </row>
    <row r="60" spans="1:22">
      <c r="A60">
        <v>58</v>
      </c>
      <c r="B60" s="105">
        <v>53</v>
      </c>
      <c r="C60" t="s">
        <v>235</v>
      </c>
      <c r="D60" s="16"/>
      <c r="E60" s="16"/>
      <c r="F60" s="16"/>
      <c r="G60" s="16"/>
      <c r="H60" s="16"/>
      <c r="I60" s="16"/>
      <c r="J60" s="16"/>
      <c r="K60" s="78" t="str">
        <f>IF($C60='4. Board Level Worksheet'!$C$5,'4. Board Level Worksheet'!$C$18,"")</f>
        <v/>
      </c>
      <c r="L60" s="78" t="str">
        <f>IF($C60='4. Board Level Worksheet'!$C$5,'4. Board Level Worksheet'!$C$19,"")</f>
        <v/>
      </c>
      <c r="M60" s="80" t="str">
        <f>IF($C60='4. Board Level Worksheet'!$C$5,'4. Board Level Worksheet'!$C$21,"")</f>
        <v/>
      </c>
      <c r="N60" s="80" t="str">
        <f>IF($C60='4. Board Level Worksheet'!$C$5,'4. Board Level Worksheet'!$C$28,"")</f>
        <v/>
      </c>
      <c r="O60" s="80" t="str">
        <f>IF($C60='4. Board Level Worksheet'!$C$5,'4. Board Level Worksheet'!#REF!,"")</f>
        <v/>
      </c>
      <c r="P60" t="s">
        <v>235</v>
      </c>
      <c r="Q60" s="78">
        <v>0.95850000000000002</v>
      </c>
      <c r="R60" s="78">
        <v>0.95850000000000002</v>
      </c>
      <c r="S60" s="78">
        <v>0.64713699999999996</v>
      </c>
      <c r="T60" s="78">
        <v>8.6999999999999994E-2</v>
      </c>
      <c r="U60" s="79">
        <v>286</v>
      </c>
      <c r="V60" s="79">
        <f t="shared" si="0"/>
        <v>0.28599999999999998</v>
      </c>
    </row>
    <row r="61" spans="1:22">
      <c r="A61">
        <v>59</v>
      </c>
      <c r="B61" s="105">
        <v>54</v>
      </c>
      <c r="C61" t="s">
        <v>236</v>
      </c>
      <c r="D61" s="16"/>
      <c r="E61" s="16"/>
      <c r="F61" s="16"/>
      <c r="G61" s="16"/>
      <c r="H61" s="16"/>
      <c r="I61" s="16"/>
      <c r="J61" s="16"/>
      <c r="K61" s="78" t="str">
        <f>IF($C61='4. Board Level Worksheet'!$C$5,'4. Board Level Worksheet'!$C$18,"")</f>
        <v/>
      </c>
      <c r="L61" s="78" t="str">
        <f>IF($C61='4. Board Level Worksheet'!$C$5,'4. Board Level Worksheet'!$C$19,"")</f>
        <v/>
      </c>
      <c r="M61" s="80" t="str">
        <f>IF($C61='4. Board Level Worksheet'!$C$5,'4. Board Level Worksheet'!$C$21,"")</f>
        <v/>
      </c>
      <c r="N61" s="80" t="str">
        <f>IF($C61='4. Board Level Worksheet'!$C$5,'4. Board Level Worksheet'!$C$28,"")</f>
        <v/>
      </c>
      <c r="O61" s="80" t="str">
        <f>IF($C61='4. Board Level Worksheet'!$C$5,'4. Board Level Worksheet'!#REF!,"")</f>
        <v/>
      </c>
      <c r="P61" t="s">
        <v>236</v>
      </c>
      <c r="Q61" s="78">
        <v>0.1948</v>
      </c>
      <c r="R61" s="78">
        <v>0.1948</v>
      </c>
      <c r="S61" s="78">
        <v>7.5458999999999998E-2</v>
      </c>
      <c r="T61" s="78">
        <v>1.4E-2</v>
      </c>
      <c r="U61" s="79">
        <v>104</v>
      </c>
      <c r="V61" s="79">
        <f t="shared" si="0"/>
        <v>0.104</v>
      </c>
    </row>
    <row r="62" spans="1:22">
      <c r="A62">
        <v>60</v>
      </c>
      <c r="B62" s="105">
        <v>55</v>
      </c>
      <c r="C62" t="s">
        <v>237</v>
      </c>
      <c r="D62" s="16"/>
      <c r="E62" s="16"/>
      <c r="F62" s="16"/>
      <c r="G62" s="16"/>
      <c r="H62" s="16"/>
      <c r="I62" s="16"/>
      <c r="J62" s="16"/>
      <c r="K62" s="78" t="str">
        <f>IF($C62='4. Board Level Worksheet'!$C$5,'4. Board Level Worksheet'!$C$18,"")</f>
        <v/>
      </c>
      <c r="L62" s="78" t="str">
        <f>IF($C62='4. Board Level Worksheet'!$C$5,'4. Board Level Worksheet'!$C$19,"")</f>
        <v/>
      </c>
      <c r="M62" s="80" t="str">
        <f>IF($C62='4. Board Level Worksheet'!$C$5,'4. Board Level Worksheet'!$C$21,"")</f>
        <v/>
      </c>
      <c r="N62" s="80" t="str">
        <f>IF($C62='4. Board Level Worksheet'!$C$5,'4. Board Level Worksheet'!$C$28,"")</f>
        <v/>
      </c>
      <c r="O62" s="80" t="str">
        <f>IF($C62='4. Board Level Worksheet'!$C$5,'4. Board Level Worksheet'!#REF!,"")</f>
        <v/>
      </c>
      <c r="P62" t="s">
        <v>237</v>
      </c>
      <c r="Q62" s="78">
        <v>0.35039999999999999</v>
      </c>
      <c r="R62" s="78">
        <v>0.35039999999999999</v>
      </c>
      <c r="S62" s="78">
        <v>0.166326</v>
      </c>
      <c r="T62" s="78">
        <v>8.9999999999999993E-3</v>
      </c>
      <c r="U62" s="79">
        <v>204</v>
      </c>
      <c r="V62" s="79">
        <f t="shared" si="0"/>
        <v>0.20399999999999999</v>
      </c>
    </row>
    <row r="63" spans="1:22">
      <c r="A63">
        <v>61</v>
      </c>
      <c r="B63" s="105">
        <v>56</v>
      </c>
      <c r="C63" t="s">
        <v>238</v>
      </c>
      <c r="D63" s="16"/>
      <c r="E63" s="16"/>
      <c r="F63" s="16"/>
      <c r="G63" s="16"/>
      <c r="H63" s="16"/>
      <c r="I63" s="16"/>
      <c r="J63" s="16"/>
      <c r="K63" s="78" t="str">
        <f>IF($C63='4. Board Level Worksheet'!$C$5,'4. Board Level Worksheet'!$C$18,"")</f>
        <v/>
      </c>
      <c r="L63" s="78" t="str">
        <f>IF($C63='4. Board Level Worksheet'!$C$5,'4. Board Level Worksheet'!$C$19,"")</f>
        <v/>
      </c>
      <c r="M63" s="80" t="str">
        <f>IF($C63='4. Board Level Worksheet'!$C$5,'4. Board Level Worksheet'!$C$21,"")</f>
        <v/>
      </c>
      <c r="N63" s="80" t="str">
        <f>IF($C63='4. Board Level Worksheet'!$C$5,'4. Board Level Worksheet'!$C$28,"")</f>
        <v/>
      </c>
      <c r="O63" s="80" t="str">
        <f>IF($C63='4. Board Level Worksheet'!$C$5,'4. Board Level Worksheet'!#REF!,"")</f>
        <v/>
      </c>
      <c r="P63" t="s">
        <v>238</v>
      </c>
      <c r="Q63" s="78">
        <v>6.9099999999999995E-2</v>
      </c>
      <c r="R63" s="78">
        <v>6.9099999999999995E-2</v>
      </c>
      <c r="S63" s="78">
        <v>5.2442000000000003E-2</v>
      </c>
      <c r="T63" s="78">
        <v>0.01</v>
      </c>
      <c r="U63" s="79">
        <v>16</v>
      </c>
      <c r="V63" s="79">
        <f t="shared" si="0"/>
        <v>1.6E-2</v>
      </c>
    </row>
    <row r="64" spans="1:22">
      <c r="A64">
        <v>62</v>
      </c>
      <c r="B64" s="105">
        <v>57</v>
      </c>
      <c r="C64" t="s">
        <v>239</v>
      </c>
      <c r="D64" s="16"/>
      <c r="E64" s="16"/>
      <c r="F64" s="16"/>
      <c r="G64" s="16"/>
      <c r="H64" s="16"/>
      <c r="I64" s="16"/>
      <c r="J64" s="16"/>
      <c r="K64" s="78" t="str">
        <f>IF($C64='4. Board Level Worksheet'!$C$5,'4. Board Level Worksheet'!$C$18,"")</f>
        <v/>
      </c>
      <c r="L64" s="78" t="str">
        <f>IF($C64='4. Board Level Worksheet'!$C$5,'4. Board Level Worksheet'!$C$19,"")</f>
        <v/>
      </c>
      <c r="M64" s="80" t="str">
        <f>IF($C64='4. Board Level Worksheet'!$C$5,'4. Board Level Worksheet'!$C$21,"")</f>
        <v/>
      </c>
      <c r="N64" s="80" t="str">
        <f>IF($C64='4. Board Level Worksheet'!$C$5,'4. Board Level Worksheet'!$C$28,"")</f>
        <v/>
      </c>
      <c r="O64" s="80" t="str">
        <f>IF($C64='4. Board Level Worksheet'!$C$5,'4. Board Level Worksheet'!#REF!,"")</f>
        <v/>
      </c>
      <c r="P64" t="s">
        <v>239</v>
      </c>
      <c r="Q64" s="78">
        <v>0.14949999999999999</v>
      </c>
      <c r="R64" s="78">
        <v>0.14949999999999999</v>
      </c>
      <c r="S64" s="78">
        <v>7.7235999999999999E-2</v>
      </c>
      <c r="T64" s="78">
        <v>1.0999999999999999E-2</v>
      </c>
      <c r="U64" s="79">
        <v>36</v>
      </c>
      <c r="V64" s="79">
        <f t="shared" si="0"/>
        <v>3.5999999999999997E-2</v>
      </c>
    </row>
    <row r="65" spans="1:22">
      <c r="A65">
        <v>63</v>
      </c>
      <c r="B65" s="105">
        <v>58</v>
      </c>
      <c r="C65" t="s">
        <v>240</v>
      </c>
      <c r="D65" s="16"/>
      <c r="E65" s="16"/>
      <c r="F65" s="16"/>
      <c r="G65" s="16"/>
      <c r="H65" s="16"/>
      <c r="I65" s="16"/>
      <c r="J65" s="16"/>
      <c r="K65" s="78" t="str">
        <f>IF($C65='4. Board Level Worksheet'!$C$5,'4. Board Level Worksheet'!$C$18,"")</f>
        <v/>
      </c>
      <c r="L65" s="78" t="str">
        <f>IF($C65='4. Board Level Worksheet'!$C$5,'4. Board Level Worksheet'!$C$19,"")</f>
        <v/>
      </c>
      <c r="M65" s="80" t="str">
        <f>IF($C65='4. Board Level Worksheet'!$C$5,'4. Board Level Worksheet'!$C$21,"")</f>
        <v/>
      </c>
      <c r="N65" s="80" t="str">
        <f>IF($C65='4. Board Level Worksheet'!$C$5,'4. Board Level Worksheet'!$C$28,"")</f>
        <v/>
      </c>
      <c r="O65" s="80" t="str">
        <f>IF($C65='4. Board Level Worksheet'!$C$5,'4. Board Level Worksheet'!#REF!,"")</f>
        <v/>
      </c>
      <c r="P65" t="s">
        <v>240</v>
      </c>
      <c r="Q65" s="78">
        <v>0.50949999999999995</v>
      </c>
      <c r="R65" s="78">
        <v>0.50949999999999995</v>
      </c>
      <c r="S65" s="78">
        <v>0.23052700000000001</v>
      </c>
      <c r="T65" s="78">
        <v>4.4999999999999998E-2</v>
      </c>
      <c r="U65" s="79">
        <v>67</v>
      </c>
      <c r="V65" s="79">
        <f t="shared" si="0"/>
        <v>6.7000000000000004E-2</v>
      </c>
    </row>
    <row r="66" spans="1:22">
      <c r="A66">
        <v>64</v>
      </c>
      <c r="B66" s="105">
        <v>59</v>
      </c>
      <c r="C66" t="s">
        <v>241</v>
      </c>
      <c r="D66" s="16"/>
      <c r="E66" s="16"/>
      <c r="F66" s="16"/>
      <c r="G66" s="16"/>
      <c r="H66" s="16"/>
      <c r="I66" s="16"/>
      <c r="J66" s="16"/>
      <c r="K66" s="78" t="str">
        <f>IF($C66='4. Board Level Worksheet'!$C$5,'4. Board Level Worksheet'!$C$18,"")</f>
        <v/>
      </c>
      <c r="L66" s="78" t="str">
        <f>IF($C66='4. Board Level Worksheet'!$C$5,'4. Board Level Worksheet'!$C$19,"")</f>
        <v/>
      </c>
      <c r="M66" s="80" t="str">
        <f>IF($C66='4. Board Level Worksheet'!$C$5,'4. Board Level Worksheet'!$C$21,"")</f>
        <v/>
      </c>
      <c r="N66" s="80" t="str">
        <f>IF($C66='4. Board Level Worksheet'!$C$5,'4. Board Level Worksheet'!$C$28,"")</f>
        <v/>
      </c>
      <c r="O66" s="80" t="str">
        <f>IF($C66='4. Board Level Worksheet'!$C$5,'4. Board Level Worksheet'!#REF!,"")</f>
        <v/>
      </c>
      <c r="P66" t="s">
        <v>241</v>
      </c>
      <c r="Q66" s="78">
        <v>0.39029999999999998</v>
      </c>
      <c r="R66" s="78">
        <v>0.39029999999999998</v>
      </c>
      <c r="S66" s="78">
        <v>0.26666299999999998</v>
      </c>
      <c r="T66" s="78">
        <v>4.4999999999999998E-2</v>
      </c>
      <c r="U66" s="79">
        <v>192</v>
      </c>
      <c r="V66" s="79">
        <f t="shared" si="0"/>
        <v>0.192</v>
      </c>
    </row>
    <row r="67" spans="1:22">
      <c r="A67">
        <v>65</v>
      </c>
      <c r="B67" s="105" t="s">
        <v>242</v>
      </c>
      <c r="C67" t="s">
        <v>243</v>
      </c>
      <c r="D67" s="16"/>
      <c r="E67" s="16"/>
      <c r="F67" s="16"/>
      <c r="G67" s="16"/>
      <c r="H67" s="16"/>
      <c r="I67" s="16"/>
      <c r="J67" s="16"/>
      <c r="K67" s="78" t="str">
        <f>IF($C67='4. Board Level Worksheet'!$C$5,'4. Board Level Worksheet'!$C$18,"")</f>
        <v/>
      </c>
      <c r="L67" s="78" t="str">
        <f>IF($C67='4. Board Level Worksheet'!$C$5,'4. Board Level Worksheet'!$C$19,"")</f>
        <v/>
      </c>
      <c r="M67" s="80" t="str">
        <f>IF($C67='4. Board Level Worksheet'!$C$5,'4. Board Level Worksheet'!$C$21,"")</f>
        <v/>
      </c>
      <c r="N67" s="80" t="str">
        <f>IF($C67='4. Board Level Worksheet'!$C$5,'4. Board Level Worksheet'!$C$28,"")</f>
        <v/>
      </c>
      <c r="O67" s="80" t="str">
        <f>IF($C67='4. Board Level Worksheet'!$C$5,'4. Board Level Worksheet'!#REF!,"")</f>
        <v/>
      </c>
      <c r="P67" t="s">
        <v>243</v>
      </c>
      <c r="Q67" s="78">
        <v>0.3367</v>
      </c>
      <c r="R67" s="78">
        <v>0.3367</v>
      </c>
      <c r="S67" s="78">
        <v>0.12409100000000001</v>
      </c>
      <c r="T67" s="78">
        <v>1.7000000000000001E-2</v>
      </c>
      <c r="U67" s="79">
        <v>170</v>
      </c>
      <c r="V67" s="79">
        <f t="shared" si="0"/>
        <v>0.17</v>
      </c>
    </row>
    <row r="68" spans="1:22">
      <c r="A68">
        <v>66</v>
      </c>
      <c r="B68" s="105" t="s">
        <v>244</v>
      </c>
      <c r="C68" t="s">
        <v>245</v>
      </c>
      <c r="D68" s="16"/>
      <c r="E68" s="16"/>
      <c r="F68" s="16"/>
      <c r="G68" s="16"/>
      <c r="H68" s="16"/>
      <c r="I68" s="16"/>
      <c r="J68" s="16"/>
      <c r="K68" s="78" t="str">
        <f>IF($C68='4. Board Level Worksheet'!$C$5,'4. Board Level Worksheet'!$C$18,"")</f>
        <v/>
      </c>
      <c r="L68" s="78" t="str">
        <f>IF($C68='4. Board Level Worksheet'!$C$5,'4. Board Level Worksheet'!$C$19,"")</f>
        <v/>
      </c>
      <c r="M68" s="80" t="str">
        <f>IF($C68='4. Board Level Worksheet'!$C$5,'4. Board Level Worksheet'!$C$21,"")</f>
        <v/>
      </c>
      <c r="N68" s="80" t="str">
        <f>IF($C68='4. Board Level Worksheet'!$C$5,'4. Board Level Worksheet'!$C$28,"")</f>
        <v/>
      </c>
      <c r="O68" s="80" t="str">
        <f>IF($C68='4. Board Level Worksheet'!$C$5,'4. Board Level Worksheet'!#REF!,"")</f>
        <v/>
      </c>
      <c r="P68" t="s">
        <v>245</v>
      </c>
      <c r="Q68" s="78">
        <v>0.10730000000000001</v>
      </c>
      <c r="R68" s="78">
        <v>0.10730000000000001</v>
      </c>
      <c r="S68" s="78">
        <v>6.3603999999999994E-2</v>
      </c>
      <c r="T68" s="78">
        <v>0.01</v>
      </c>
      <c r="U68" s="79">
        <v>69</v>
      </c>
      <c r="V68" s="79">
        <f t="shared" ref="V68:V78" si="1">U68*1000/1000000</f>
        <v>6.9000000000000006E-2</v>
      </c>
    </row>
    <row r="69" spans="1:22">
      <c r="A69">
        <v>67</v>
      </c>
      <c r="B69" s="105">
        <v>61</v>
      </c>
      <c r="C69" t="s">
        <v>246</v>
      </c>
      <c r="D69" s="16"/>
      <c r="E69" s="16"/>
      <c r="F69" s="16"/>
      <c r="G69" s="16"/>
      <c r="H69" s="16"/>
      <c r="I69" s="16"/>
      <c r="J69" s="16"/>
      <c r="K69" s="78" t="str">
        <f>IF($C69='4. Board Level Worksheet'!$C$5,'4. Board Level Worksheet'!$C$18,"")</f>
        <v/>
      </c>
      <c r="L69" s="78" t="str">
        <f>IF($C69='4. Board Level Worksheet'!$C$5,'4. Board Level Worksheet'!$C$19,"")</f>
        <v/>
      </c>
      <c r="M69" s="80" t="str">
        <f>IF($C69='4. Board Level Worksheet'!$C$5,'4. Board Level Worksheet'!$C$21,"")</f>
        <v/>
      </c>
      <c r="N69" s="80" t="str">
        <f>IF($C69='4. Board Level Worksheet'!$C$5,'4. Board Level Worksheet'!$C$28,"")</f>
        <v/>
      </c>
      <c r="O69" s="80" t="str">
        <f>IF($C69='4. Board Level Worksheet'!$C$5,'4. Board Level Worksheet'!#REF!,"")</f>
        <v/>
      </c>
      <c r="P69" t="s">
        <v>246</v>
      </c>
      <c r="Q69" s="78">
        <v>0.37</v>
      </c>
      <c r="R69" s="78">
        <v>0.37</v>
      </c>
      <c r="S69" s="78">
        <v>0.119952</v>
      </c>
      <c r="T69" s="78">
        <v>2.8000000000000001E-2</v>
      </c>
      <c r="U69" s="79">
        <v>385</v>
      </c>
      <c r="V69" s="79">
        <f t="shared" si="1"/>
        <v>0.38500000000000001</v>
      </c>
    </row>
    <row r="70" spans="1:22">
      <c r="A70">
        <v>68</v>
      </c>
      <c r="B70" s="105">
        <v>62</v>
      </c>
      <c r="C70" t="s">
        <v>247</v>
      </c>
      <c r="D70" s="16"/>
      <c r="E70" s="16"/>
      <c r="F70" s="16"/>
      <c r="G70" s="16"/>
      <c r="H70" s="16"/>
      <c r="I70" s="16"/>
      <c r="J70" s="16"/>
      <c r="K70" s="78" t="str">
        <f>IF($C70='4. Board Level Worksheet'!$C$5,'4. Board Level Worksheet'!$C$18,"")</f>
        <v/>
      </c>
      <c r="L70" s="78" t="str">
        <f>IF($C70='4. Board Level Worksheet'!$C$5,'4. Board Level Worksheet'!$C$19,"")</f>
        <v/>
      </c>
      <c r="M70" s="80" t="str">
        <f>IF($C70='4. Board Level Worksheet'!$C$5,'4. Board Level Worksheet'!$C$21,"")</f>
        <v/>
      </c>
      <c r="N70" s="80" t="str">
        <f>IF($C70='4. Board Level Worksheet'!$C$5,'4. Board Level Worksheet'!$C$28,"")</f>
        <v/>
      </c>
      <c r="O70" s="80" t="str">
        <f>IF($C70='4. Board Level Worksheet'!$C$5,'4. Board Level Worksheet'!#REF!,"")</f>
        <v/>
      </c>
      <c r="P70" t="s">
        <v>247</v>
      </c>
      <c r="Q70" s="78">
        <v>3.5799999999999998E-2</v>
      </c>
      <c r="R70" s="78">
        <v>3.5799999999999998E-2</v>
      </c>
      <c r="S70" s="78">
        <v>2.3341000000000001E-2</v>
      </c>
      <c r="T70" s="78">
        <v>5.0000000000000001E-3</v>
      </c>
      <c r="U70" s="79">
        <v>11</v>
      </c>
      <c r="V70" s="79">
        <f t="shared" si="1"/>
        <v>1.0999999999999999E-2</v>
      </c>
    </row>
    <row r="71" spans="1:22">
      <c r="A71">
        <v>69</v>
      </c>
      <c r="B71" s="105">
        <v>63</v>
      </c>
      <c r="C71" t="s">
        <v>248</v>
      </c>
      <c r="D71" s="16"/>
      <c r="E71" s="16"/>
      <c r="F71" s="16"/>
      <c r="G71" s="16"/>
      <c r="H71" s="16"/>
      <c r="I71" s="16"/>
      <c r="J71" s="16"/>
      <c r="K71" s="78" t="str">
        <f>IF($C71='4. Board Level Worksheet'!$C$5,'4. Board Level Worksheet'!$C$18,"")</f>
        <v/>
      </c>
      <c r="L71" s="78" t="str">
        <f>IF($C71='4. Board Level Worksheet'!$C$5,'4. Board Level Worksheet'!$C$19,"")</f>
        <v/>
      </c>
      <c r="M71" s="80" t="str">
        <f>IF($C71='4. Board Level Worksheet'!$C$5,'4. Board Level Worksheet'!$C$21,"")</f>
        <v/>
      </c>
      <c r="N71" s="80" t="str">
        <f>IF($C71='4. Board Level Worksheet'!$C$5,'4. Board Level Worksheet'!$C$28,"")</f>
        <v/>
      </c>
      <c r="O71" s="80" t="str">
        <f>IF($C71='4. Board Level Worksheet'!$C$5,'4. Board Level Worksheet'!#REF!,"")</f>
        <v/>
      </c>
      <c r="P71" t="s">
        <v>248</v>
      </c>
      <c r="Q71" s="78">
        <v>0.29149999999999998</v>
      </c>
      <c r="R71" s="78">
        <v>0.29149999999999998</v>
      </c>
      <c r="S71" s="78">
        <v>0.16191700000000001</v>
      </c>
      <c r="T71" s="78">
        <v>3.6999999999999998E-2</v>
      </c>
      <c r="U71" s="79">
        <v>45</v>
      </c>
      <c r="V71" s="79">
        <f t="shared" si="1"/>
        <v>4.4999999999999998E-2</v>
      </c>
    </row>
    <row r="72" spans="1:22">
      <c r="A72">
        <v>70</v>
      </c>
      <c r="B72" s="105">
        <v>64</v>
      </c>
      <c r="C72" t="s">
        <v>249</v>
      </c>
      <c r="D72" s="16"/>
      <c r="E72" s="16"/>
      <c r="F72" s="16"/>
      <c r="G72" s="16"/>
      <c r="H72" s="16"/>
      <c r="I72" s="16"/>
      <c r="J72" s="16"/>
      <c r="K72" s="78" t="str">
        <f>IF($C72='4. Board Level Worksheet'!$C$5,'4. Board Level Worksheet'!$C$18,"")</f>
        <v/>
      </c>
      <c r="L72" s="78" t="str">
        <f>IF($C72='4. Board Level Worksheet'!$C$5,'4. Board Level Worksheet'!$C$19,"")</f>
        <v/>
      </c>
      <c r="M72" s="80" t="str">
        <f>IF($C72='4. Board Level Worksheet'!$C$5,'4. Board Level Worksheet'!$C$21,"")</f>
        <v/>
      </c>
      <c r="N72" s="80" t="str">
        <f>IF($C72='4. Board Level Worksheet'!$C$5,'4. Board Level Worksheet'!$C$28,"")</f>
        <v/>
      </c>
      <c r="O72" s="80" t="str">
        <f>IF($C72='4. Board Level Worksheet'!$C$5,'4. Board Level Worksheet'!#REF!,"")</f>
        <v/>
      </c>
      <c r="P72" t="s">
        <v>249</v>
      </c>
      <c r="Q72" s="78">
        <v>0.5413</v>
      </c>
      <c r="R72" s="78">
        <v>0.5413</v>
      </c>
      <c r="S72" s="78">
        <v>0.26413599999999998</v>
      </c>
      <c r="T72" s="78">
        <v>5.8000000000000003E-2</v>
      </c>
      <c r="U72" s="79">
        <v>97</v>
      </c>
      <c r="V72" s="79">
        <f t="shared" si="1"/>
        <v>9.7000000000000003E-2</v>
      </c>
    </row>
    <row r="73" spans="1:22">
      <c r="A73">
        <v>71</v>
      </c>
      <c r="B73" s="105">
        <v>65</v>
      </c>
      <c r="C73" t="s">
        <v>250</v>
      </c>
      <c r="D73" s="16"/>
      <c r="E73" s="16"/>
      <c r="F73" s="16"/>
      <c r="G73" s="16"/>
      <c r="H73" s="16"/>
      <c r="I73" s="16"/>
      <c r="J73" s="16"/>
      <c r="K73" s="78" t="str">
        <f>IF($C73='4. Board Level Worksheet'!$C$5,'4. Board Level Worksheet'!$C$18,"")</f>
        <v/>
      </c>
      <c r="L73" s="78" t="str">
        <f>IF($C73='4. Board Level Worksheet'!$C$5,'4. Board Level Worksheet'!$C$19,"")</f>
        <v/>
      </c>
      <c r="M73" s="80" t="str">
        <f>IF($C73='4. Board Level Worksheet'!$C$5,'4. Board Level Worksheet'!$C$21,"")</f>
        <v/>
      </c>
      <c r="N73" s="80" t="str">
        <f>IF($C73='4. Board Level Worksheet'!$C$5,'4. Board Level Worksheet'!$C$28,"")</f>
        <v/>
      </c>
      <c r="O73" s="80" t="str">
        <f>IF($C73='4. Board Level Worksheet'!$C$5,'4. Board Level Worksheet'!#REF!,"")</f>
        <v/>
      </c>
      <c r="P73" t="s">
        <v>250</v>
      </c>
      <c r="Q73" s="78">
        <v>0.37009999999999998</v>
      </c>
      <c r="R73" s="78">
        <v>0.37009999999999998</v>
      </c>
      <c r="S73" s="78">
        <v>0.19773199999999999</v>
      </c>
      <c r="T73" s="78">
        <v>3.2000000000000001E-2</v>
      </c>
      <c r="U73" s="79">
        <v>116</v>
      </c>
      <c r="V73" s="79">
        <f t="shared" si="1"/>
        <v>0.11600000000000001</v>
      </c>
    </row>
    <row r="74" spans="1:22">
      <c r="A74">
        <v>72</v>
      </c>
      <c r="B74" s="105">
        <v>66</v>
      </c>
      <c r="C74" t="s">
        <v>251</v>
      </c>
      <c r="D74" s="16"/>
      <c r="E74" s="16"/>
      <c r="F74" s="16"/>
      <c r="G74" s="16"/>
      <c r="H74" s="16"/>
      <c r="I74" s="16"/>
      <c r="J74" s="16"/>
      <c r="K74" s="78" t="str">
        <f>IF($C74='4. Board Level Worksheet'!$C$5,'4. Board Level Worksheet'!$C$18,"")</f>
        <v/>
      </c>
      <c r="L74" s="78" t="str">
        <f>IF($C74='4. Board Level Worksheet'!$C$5,'4. Board Level Worksheet'!$C$19,"")</f>
        <v/>
      </c>
      <c r="M74" s="80" t="str">
        <f>IF($C74='4. Board Level Worksheet'!$C$5,'4. Board Level Worksheet'!$C$21,"")</f>
        <v/>
      </c>
      <c r="N74" s="80" t="str">
        <f>IF($C74='4. Board Level Worksheet'!$C$5,'4. Board Level Worksheet'!$C$28,"")</f>
        <v/>
      </c>
      <c r="O74" s="80" t="str">
        <f>IF($C74='4. Board Level Worksheet'!$C$5,'4. Board Level Worksheet'!#REF!,"")</f>
        <v/>
      </c>
      <c r="P74" t="s">
        <v>251</v>
      </c>
      <c r="Q74" s="78">
        <v>0.56269999999999998</v>
      </c>
      <c r="R74" s="78">
        <v>0.56269999999999998</v>
      </c>
      <c r="S74" s="78">
        <v>0.36524000000000001</v>
      </c>
      <c r="T74" s="78">
        <v>7.0999999999999994E-2</v>
      </c>
      <c r="U74" s="79">
        <v>203</v>
      </c>
      <c r="V74" s="79">
        <f t="shared" si="1"/>
        <v>0.20300000000000001</v>
      </c>
    </row>
    <row r="75" spans="1:22">
      <c r="A75">
        <v>73</v>
      </c>
      <c r="B75" s="105">
        <v>100</v>
      </c>
      <c r="C75" t="s">
        <v>252</v>
      </c>
      <c r="D75" s="16"/>
      <c r="E75" s="16"/>
      <c r="F75" s="16"/>
      <c r="G75" s="16"/>
      <c r="H75" s="16"/>
      <c r="I75" s="16"/>
      <c r="J75" s="16"/>
      <c r="K75" s="78" t="str">
        <f>IF($C75='4. Board Level Worksheet'!$C$5,'4. Board Level Worksheet'!$C$18,"")</f>
        <v/>
      </c>
      <c r="L75" s="78" t="str">
        <f>IF($C75='4. Board Level Worksheet'!$C$5,'4. Board Level Worksheet'!$C$19,"")</f>
        <v/>
      </c>
      <c r="M75" s="80" t="str">
        <f>IF($C75='4. Board Level Worksheet'!$C$5,'4. Board Level Worksheet'!$C$21,"")</f>
        <v/>
      </c>
      <c r="N75" s="80" t="str">
        <f>IF($C75='4. Board Level Worksheet'!$C$5,'4. Board Level Worksheet'!$C$28,"")</f>
        <v/>
      </c>
      <c r="O75" s="80" t="str">
        <f>IF($C75='4. Board Level Worksheet'!$C$5,'4. Board Level Worksheet'!#REF!,"")</f>
        <v/>
      </c>
      <c r="P75" t="s">
        <v>252</v>
      </c>
      <c r="Q75" s="78">
        <v>5.0000000000000001E-3</v>
      </c>
      <c r="R75" s="78">
        <v>5.0000000000000001E-3</v>
      </c>
      <c r="S75" s="78">
        <v>1.3566999999999999E-2</v>
      </c>
      <c r="T75" s="78">
        <v>0</v>
      </c>
      <c r="U75" s="79">
        <v>0</v>
      </c>
      <c r="V75" s="79">
        <f t="shared" si="1"/>
        <v>0</v>
      </c>
    </row>
    <row r="76" spans="1:22">
      <c r="A76">
        <v>74</v>
      </c>
      <c r="B76" s="105">
        <v>101</v>
      </c>
      <c r="C76" t="s">
        <v>253</v>
      </c>
      <c r="D76" s="16"/>
      <c r="E76" s="16"/>
      <c r="F76" s="16"/>
      <c r="G76" s="16"/>
      <c r="H76" s="16"/>
      <c r="I76" s="16"/>
      <c r="J76" s="16"/>
      <c r="K76" s="78" t="str">
        <f>IF($C76='4. Board Level Worksheet'!$C$5,'4. Board Level Worksheet'!$C$18,"")</f>
        <v/>
      </c>
      <c r="L76" s="78" t="str">
        <f>IF($C76='4. Board Level Worksheet'!$C$5,'4. Board Level Worksheet'!$C$19,"")</f>
        <v/>
      </c>
      <c r="M76" s="80" t="str">
        <f>IF($C76='4. Board Level Worksheet'!$C$5,'4. Board Level Worksheet'!$C$21,"")</f>
        <v/>
      </c>
      <c r="N76" s="80" t="str">
        <f>IF($C76='4. Board Level Worksheet'!$C$5,'4. Board Level Worksheet'!$C$28,"")</f>
        <v/>
      </c>
      <c r="O76" s="80" t="str">
        <f>IF($C76='4. Board Level Worksheet'!$C$5,'4. Board Level Worksheet'!#REF!,"")</f>
        <v/>
      </c>
      <c r="P76" t="s">
        <v>253</v>
      </c>
      <c r="Q76" s="78">
        <v>5.0000000000000001E-3</v>
      </c>
      <c r="R76" s="78">
        <v>5.0000000000000001E-3</v>
      </c>
      <c r="S76" s="78">
        <v>9.2420000000000002E-3</v>
      </c>
      <c r="T76" s="78">
        <v>0</v>
      </c>
      <c r="U76" s="79">
        <v>20</v>
      </c>
      <c r="V76" s="79">
        <f t="shared" si="1"/>
        <v>0.02</v>
      </c>
    </row>
    <row r="77" spans="1:22">
      <c r="A77">
        <v>75</v>
      </c>
      <c r="B77" s="105">
        <v>102</v>
      </c>
      <c r="C77" t="s">
        <v>254</v>
      </c>
      <c r="D77" s="16"/>
      <c r="E77" s="16"/>
      <c r="F77" s="16"/>
      <c r="G77" s="16"/>
      <c r="H77" s="16"/>
      <c r="I77" s="16"/>
      <c r="J77" s="16"/>
      <c r="K77" s="78" t="str">
        <f>IF($C77='4. Board Level Worksheet'!$C$5,'4. Board Level Worksheet'!$C$18,"")</f>
        <v/>
      </c>
      <c r="L77" s="78" t="str">
        <f>IF($C77='4. Board Level Worksheet'!$C$5,'4. Board Level Worksheet'!$C$19,"")</f>
        <v/>
      </c>
      <c r="M77" s="80" t="str">
        <f>IF($C77='4. Board Level Worksheet'!$C$5,'4. Board Level Worksheet'!$C$21,"")</f>
        <v/>
      </c>
      <c r="N77" s="80" t="str">
        <f>IF($C77='4. Board Level Worksheet'!$C$5,'4. Board Level Worksheet'!$C$28,"")</f>
        <v/>
      </c>
      <c r="O77" s="80" t="str">
        <f>IF($C77='4. Board Level Worksheet'!$C$5,'4. Board Level Worksheet'!#REF!,"")</f>
        <v/>
      </c>
      <c r="P77" t="s">
        <v>254</v>
      </c>
      <c r="Q77" s="78">
        <v>5.0000000000000001E-3</v>
      </c>
      <c r="R77" s="78">
        <v>5.0000000000000001E-3</v>
      </c>
      <c r="S77" s="78">
        <v>4.5110000000000003E-3</v>
      </c>
      <c r="T77" s="78">
        <v>0</v>
      </c>
      <c r="U77" s="79">
        <v>21</v>
      </c>
      <c r="V77" s="79">
        <f t="shared" si="1"/>
        <v>2.1000000000000001E-2</v>
      </c>
    </row>
    <row r="78" spans="1:22">
      <c r="A78">
        <v>76</v>
      </c>
      <c r="B78" s="105">
        <v>103</v>
      </c>
      <c r="C78" t="s">
        <v>255</v>
      </c>
      <c r="D78" s="16"/>
      <c r="E78" s="16"/>
      <c r="F78" s="16"/>
      <c r="G78" s="16"/>
      <c r="H78" s="16"/>
      <c r="I78" s="16"/>
      <c r="J78" s="16"/>
      <c r="K78" s="78" t="str">
        <f>IF($C78='4. Board Level Worksheet'!$C$5,'4. Board Level Worksheet'!$C$18,"")</f>
        <v/>
      </c>
      <c r="L78" s="78" t="str">
        <f>IF($C78='4. Board Level Worksheet'!$C$5,'4. Board Level Worksheet'!$C$19,"")</f>
        <v/>
      </c>
      <c r="M78" s="80" t="str">
        <f>IF($C78='4. Board Level Worksheet'!$C$5,'4. Board Level Worksheet'!$C$21,"")</f>
        <v/>
      </c>
      <c r="N78" s="80" t="str">
        <f>IF($C78='4. Board Level Worksheet'!$C$5,'4. Board Level Worksheet'!$C$28,"")</f>
        <v/>
      </c>
      <c r="O78" s="80" t="str">
        <f>IF($C78='4. Board Level Worksheet'!$C$5,'4. Board Level Worksheet'!#REF!,"")</f>
        <v/>
      </c>
      <c r="P78" t="s">
        <v>255</v>
      </c>
      <c r="Q78" s="78">
        <v>5.0000000000000001E-3</v>
      </c>
      <c r="R78" s="78">
        <v>5.0000000000000001E-3</v>
      </c>
      <c r="S78" s="78">
        <v>3.8440000000000002E-3</v>
      </c>
      <c r="T78" s="78">
        <v>1E-3</v>
      </c>
      <c r="U78" s="79">
        <v>8</v>
      </c>
      <c r="V78" s="79">
        <f t="shared" si="1"/>
        <v>8.0000000000000002E-3</v>
      </c>
    </row>
  </sheetData>
  <mergeCells count="2">
    <mergeCell ref="D1:E1"/>
    <mergeCell ref="F1:G1"/>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416B41A1E8254D9E15786D8F1F41F5" ma:contentTypeVersion="12" ma:contentTypeDescription="Create a new document." ma:contentTypeScope="" ma:versionID="01cf02e31fc10715832b2f03f5d9fcf4">
  <xsd:schema xmlns:xsd="http://www.w3.org/2001/XMLSchema" xmlns:xs="http://www.w3.org/2001/XMLSchema" xmlns:p="http://schemas.microsoft.com/office/2006/metadata/properties" xmlns:ns2="cfb71268-d5c5-4f59-a842-f528c3247e59" xmlns:ns3="bfc4ccff-919c-448f-a135-35bfafa9005c" targetNamespace="http://schemas.microsoft.com/office/2006/metadata/properties" ma:root="true" ma:fieldsID="f0d942d4c8781271bfded81e305be90e" ns2:_="" ns3:_="">
    <xsd:import namespace="cfb71268-d5c5-4f59-a842-f528c3247e59"/>
    <xsd:import namespace="bfc4ccff-919c-448f-a135-35bfafa900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b71268-d5c5-4f59-a842-f528c3247e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c4ccff-919c-448f-a135-35bfafa9005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767ECD-B4EC-49F1-8931-484F36919636}"/>
</file>

<file path=customXml/itemProps2.xml><?xml version="1.0" encoding="utf-8"?>
<ds:datastoreItem xmlns:ds="http://schemas.openxmlformats.org/officeDocument/2006/customXml" ds:itemID="{6CE3BFB6-99B9-41E0-8906-2998451C0E16}">
  <ds:schemaRefs>
    <ds:schemaRef ds:uri="http://schemas.microsoft.com/sharepoint/v3/contenttype/forms"/>
  </ds:schemaRefs>
</ds:datastoreItem>
</file>

<file path=customXml/itemProps3.xml><?xml version="1.0" encoding="utf-8"?>
<ds:datastoreItem xmlns:ds="http://schemas.openxmlformats.org/officeDocument/2006/customXml" ds:itemID="{A25A2792-4BEF-4CEB-B44E-8083C71E7605}">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fa26e8d7-bce4-41b0-a164-26d2f88efc01"/>
    <ds:schemaRef ds:uri="http://schemas.openxmlformats.org/package/2006/metadata/core-properti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Board Ventilation Strategy</vt:lpstr>
      <vt:lpstr>2. Board Level Investments</vt:lpstr>
      <vt:lpstr>3. School Dashboard</vt:lpstr>
      <vt:lpstr>4. Board Level Worksheet</vt:lpstr>
      <vt:lpstr>5. School Level Worksheet</vt:lpstr>
      <vt:lpstr>supporting docs</vt:lpstr>
      <vt:lpstr>pivot table</vt:lpstr>
      <vt:lpstr>Funding Tables</vt:lpstr>
      <vt:lpstr>School_Name</vt:lpstr>
      <vt:lpstr>Ventilation</vt:lpstr>
    </vt:vector>
  </TitlesOfParts>
  <Manager/>
  <Company>Ontario Ministry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Dashboard Excel MockUp - August 4 2021 v5</dc:title>
  <dc:subject/>
  <dc:creator>Okwelum, Edson (EDU)</dc:creator>
  <cp:keywords/>
  <dc:description/>
  <cp:lastModifiedBy>Bonnie Norton</cp:lastModifiedBy>
  <cp:revision/>
  <dcterms:created xsi:type="dcterms:W3CDTF">2021-08-03T14:52:18Z</dcterms:created>
  <dcterms:modified xsi:type="dcterms:W3CDTF">2021-09-03T19:57:20Z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0x01010017416B41A1E8254D9E15786D8F1F41F5</vt:lpwstr>
  </property>
  <property fmtid="{D5CDD505-2E9C-101B-9397-08002B2CF9AE}" pid="3" name="MSIP_Label_034a106e-6316-442c-ad35-738afd673d2b_Enabled">
    <vt:lpwstr>true</vt:lpwstr>
  </property>
  <property fmtid="{D5CDD505-2E9C-101B-9397-08002B2CF9AE}" pid="4" name="MSIP_Label_034a106e-6316-442c-ad35-738afd673d2b_SetDate">
    <vt:lpwstr>2021-08-10T20:42:25Z</vt:lpwstr>
  </property>
  <property fmtid="{D5CDD505-2E9C-101B-9397-08002B2CF9AE}" pid="5" name="MSIP_Label_034a106e-6316-442c-ad35-738afd673d2b_Method">
    <vt:lpwstr>Standard</vt:lpwstr>
  </property>
  <property fmtid="{D5CDD505-2E9C-101B-9397-08002B2CF9AE}" pid="6" name="MSIP_Label_034a106e-6316-442c-ad35-738afd673d2b_Name">
    <vt:lpwstr>034a106e-6316-442c-ad35-738afd673d2b</vt:lpwstr>
  </property>
  <property fmtid="{D5CDD505-2E9C-101B-9397-08002B2CF9AE}" pid="7" name="MSIP_Label_034a106e-6316-442c-ad35-738afd673d2b_SiteId">
    <vt:lpwstr>cddc1229-ac2a-4b97-b78a-0e5cacb5865c</vt:lpwstr>
  </property>
  <property fmtid="{D5CDD505-2E9C-101B-9397-08002B2CF9AE}" pid="8" name="MSIP_Label_034a106e-6316-442c-ad35-738afd673d2b_ActionId">
    <vt:lpwstr>96eba60e-ebfa-4ad4-a626-95565a779b5c</vt:lpwstr>
  </property>
  <property fmtid="{D5CDD505-2E9C-101B-9397-08002B2CF9AE}" pid="9" name="MSIP_Label_034a106e-6316-442c-ad35-738afd673d2b_ContentBits">
    <vt:lpwstr>0</vt:lpwstr>
  </property>
  <property fmtid="{D5CDD505-2E9C-101B-9397-08002B2CF9AE}" pid="10" name="SV_QUERY_LIST_4F35BF76-6C0D-4D9B-82B2-816C12CF3733">
    <vt:lpwstr>empty_477D106A-C0D6-4607-AEBD-E2C9D60EA279</vt:lpwstr>
  </property>
</Properties>
</file>